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8895" tabRatio="599" activeTab="7"/>
  </bookViews>
  <sheets>
    <sheet name="2012全市执行情况表" sheetId="1" r:id="rId1"/>
    <sheet name="2012市本级执行情况表" sheetId="2" r:id="rId2"/>
    <sheet name="2013收入预算表" sheetId="3" r:id="rId3"/>
    <sheet name="2013全市预算表" sheetId="4" r:id="rId4"/>
    <sheet name="2013市本级预算表" sheetId="5" r:id="rId5"/>
    <sheet name="2013政府性基金预算收支表 (2)" sheetId="6" r:id="rId6"/>
    <sheet name="2013社保基金收支预算表" sheetId="7" r:id="rId7"/>
    <sheet name="新口径同比简表 (2012)" sheetId="8" r:id="rId8"/>
  </sheets>
  <externalReferences>
    <externalReference r:id="rId11"/>
    <externalReference r:id="rId12"/>
    <externalReference r:id="rId13"/>
  </externalReferences>
  <definedNames>
    <definedName name="DATABASE" localSheetId="7">'新口径同比简表 (2012)'!$A$5:$A$44</definedName>
    <definedName name="_xlnm.Print_Area" localSheetId="0">'2012全市执行情况表'!$A$1:$M$52</definedName>
    <definedName name="_xlnm.Print_Area" localSheetId="1">'2012市本级执行情况表'!$A$1:$L$52</definedName>
    <definedName name="_xlnm.Print_Area" localSheetId="3">'2013全市预算表'!$A$1:$J$51</definedName>
    <definedName name="_xlnm.Print_Area" localSheetId="6">'2013社保基金收支预算表'!$A$1:$L$25</definedName>
    <definedName name="_xlnm.Print_Area" localSheetId="4">'2013市本级预算表'!$A$1:$J$53</definedName>
    <definedName name="_xlnm.Print_Area" localSheetId="2">'2013收入预算表'!$A$1:$J$30</definedName>
    <definedName name="_xlnm.Print_Area" localSheetId="7">'新口径同比简表 (2012)'!$A$1:$H$38</definedName>
    <definedName name="_xlnm.Print_Titles" localSheetId="7">'新口径同比简表 (2012)'!$A:$A,'新口径同比简表 (2012)'!$2:$5</definedName>
  </definedNames>
  <calcPr fullCalcOnLoad="1"/>
</workbook>
</file>

<file path=xl/comments1.xml><?xml version="1.0" encoding="utf-8"?>
<comments xmlns="http://schemas.openxmlformats.org/spreadsheetml/2006/main">
  <authors>
    <author>微软用户</author>
    <author>n</author>
    <author>Lenovo</author>
  </authors>
  <commentList>
    <comment ref="A22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教育费附加+排污费=
11511+585</t>
        </r>
      </text>
    </comment>
    <comment ref="D6" authorId="1">
      <text>
        <r>
          <rPr>
            <b/>
            <sz val="8"/>
            <rFont val="宋体"/>
            <family val="0"/>
          </rPr>
          <t>n:</t>
        </r>
        <r>
          <rPr>
            <sz val="8"/>
            <rFont val="宋体"/>
            <family val="0"/>
          </rPr>
          <t xml:space="preserve">
已调整</t>
        </r>
      </text>
    </comment>
    <comment ref="B5" authorId="0">
      <text>
        <r>
          <rPr>
            <b/>
            <sz val="9"/>
            <rFont val="宋体"/>
            <family val="0"/>
          </rPr>
          <t>根据2009年决算报表数据调整</t>
        </r>
        <r>
          <rPr>
            <sz val="9"/>
            <rFont val="宋体"/>
            <family val="0"/>
          </rPr>
          <t xml:space="preserve">
</t>
        </r>
      </text>
    </comment>
    <comment ref="K39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姜桢提供</t>
        </r>
      </text>
    </comment>
    <comment ref="J16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省转贷地方债一般预算调整4000万</t>
        </r>
      </text>
    </comment>
    <comment ref="J11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省转贷地方债一般预算调整18000万</t>
        </r>
      </text>
    </comment>
    <comment ref="I39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姜桢提供</t>
        </r>
      </text>
    </comment>
    <comment ref="J19" authorId="2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省转贷地方政府债券调整10000万元</t>
        </r>
      </text>
    </comment>
  </commentList>
</comments>
</file>

<file path=xl/comments2.xml><?xml version="1.0" encoding="utf-8"?>
<comments xmlns="http://schemas.openxmlformats.org/spreadsheetml/2006/main">
  <authors>
    <author>微软用户</author>
    <author>Lenovo</author>
  </authors>
  <commentList>
    <comment ref="D7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根据爱晖提供市本级分成收入暂录</t>
        </r>
      </text>
    </comment>
    <comment ref="G24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2012年合并222科目和223科目（储备事务支出），仅留222科目</t>
        </r>
      </text>
    </comment>
    <comment ref="J34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爱晖提供</t>
        </r>
      </text>
    </comment>
    <comment ref="H34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爱晖提供</t>
        </r>
      </text>
    </comment>
    <comment ref="H39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城建税*15%+土地出让税*3%</t>
        </r>
      </text>
    </comment>
    <comment ref="I11" authorId="1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省转贷地方政府债券18000万元</t>
        </r>
      </text>
    </comment>
    <comment ref="I16" authorId="1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省转贷地方政府债券4000万元</t>
        </r>
      </text>
    </comment>
    <comment ref="I19" authorId="1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省转贷地方政府债券10000万元</t>
        </r>
      </text>
    </comment>
  </commentList>
</comments>
</file>

<file path=xl/comments3.xml><?xml version="1.0" encoding="utf-8"?>
<comments xmlns="http://schemas.openxmlformats.org/spreadsheetml/2006/main">
  <authors>
    <author>微软用户</author>
  </authors>
  <commentList>
    <comment ref="H23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2000万分列行政性收费收入1000万和罚没收入1000万</t>
        </r>
      </text>
    </comment>
    <comment ref="C23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2000万分列行政性收费收入1000万和罚没收入1000万</t>
        </r>
      </text>
    </comment>
  </commentList>
</comments>
</file>

<file path=xl/comments4.xml><?xml version="1.0" encoding="utf-8"?>
<comments xmlns="http://schemas.openxmlformats.org/spreadsheetml/2006/main">
  <authors>
    <author>微软用户</author>
  </authors>
  <commentList>
    <comment ref="A22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教育费附加+排污费=
11511+585</t>
        </r>
      </text>
    </comment>
  </commentList>
</comments>
</file>

<file path=xl/comments5.xml><?xml version="1.0" encoding="utf-8"?>
<comments xmlns="http://schemas.openxmlformats.org/spreadsheetml/2006/main">
  <authors>
    <author>user</author>
    <author>微软用户</author>
  </authors>
  <commentList>
    <comment ref="B36" authorId="0">
      <text>
        <r>
          <rPr>
            <b/>
            <sz val="8"/>
            <rFont val="宋体"/>
            <family val="0"/>
          </rPr>
          <t>user:</t>
        </r>
        <r>
          <rPr>
            <sz val="8"/>
            <rFont val="宋体"/>
            <family val="0"/>
          </rPr>
          <t xml:space="preserve">
12787万为上年结转收入</t>
        </r>
      </text>
    </comment>
    <comment ref="A22" authorId="1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教育费附加+排污费=
11511+585</t>
        </r>
      </text>
    </comment>
  </commentList>
</comments>
</file>

<file path=xl/comments8.xml><?xml version="1.0" encoding="utf-8"?>
<comments xmlns="http://schemas.openxmlformats.org/spreadsheetml/2006/main">
  <authors>
    <author>微软用户</author>
  </authors>
  <commentList>
    <comment ref="A19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不含城市维护建设税（按省厅提供口径要求）和耕地占用税（2010年完成数与2011年预算数相差太大，对比不科学,故剔除）</t>
        </r>
      </text>
    </comment>
    <comment ref="C21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国有资源（资产）利息收入428万-专户63万=365万</t>
        </r>
      </text>
    </comment>
    <comment ref="B21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国有资源（资产）利息收入428万-专户63万=365万</t>
        </r>
      </text>
    </comment>
  </commentList>
</comments>
</file>

<file path=xl/sharedStrings.xml><?xml version="1.0" encoding="utf-8"?>
<sst xmlns="http://schemas.openxmlformats.org/spreadsheetml/2006/main" count="629" uniqueCount="394">
  <si>
    <t>预算数</t>
  </si>
  <si>
    <t>完成数</t>
  </si>
  <si>
    <t>支                                        出</t>
  </si>
  <si>
    <t>三、转移性收入</t>
  </si>
  <si>
    <t>预算数</t>
  </si>
  <si>
    <t xml:space="preserve"> 预算数</t>
  </si>
  <si>
    <t xml:space="preserve">预算数     </t>
  </si>
  <si>
    <t xml:space="preserve">完成数 </t>
  </si>
  <si>
    <t xml:space="preserve"> 预算数   </t>
  </si>
  <si>
    <t xml:space="preserve">完成数    </t>
  </si>
  <si>
    <t xml:space="preserve">预算数 </t>
  </si>
  <si>
    <t xml:space="preserve">完成数       </t>
  </si>
  <si>
    <t xml:space="preserve"> 预算数      </t>
  </si>
  <si>
    <t xml:space="preserve">  1.增值税</t>
  </si>
  <si>
    <t xml:space="preserve">  2.营业税</t>
  </si>
  <si>
    <t xml:space="preserve">  3.企业所得税</t>
  </si>
  <si>
    <t xml:space="preserve">  4.个人所得税</t>
  </si>
  <si>
    <t xml:space="preserve">  5.土地增值税</t>
  </si>
  <si>
    <t xml:space="preserve">  6.契税</t>
  </si>
  <si>
    <t xml:space="preserve">  7.资源税</t>
  </si>
  <si>
    <t xml:space="preserve">  8.城市维护建设税</t>
  </si>
  <si>
    <t xml:space="preserve">  9.房产税</t>
  </si>
  <si>
    <t xml:space="preserve">  10.印花税</t>
  </si>
  <si>
    <t xml:space="preserve">  11.城镇土地使用税</t>
  </si>
  <si>
    <t xml:space="preserve">  12.车船使用和牌照税</t>
  </si>
  <si>
    <t xml:space="preserve">  13.耕地占用税</t>
  </si>
  <si>
    <t xml:space="preserve">  1.专项收入</t>
  </si>
  <si>
    <t xml:space="preserve"> （一）补助区级支出</t>
  </si>
  <si>
    <t xml:space="preserve">    1.返还性支出</t>
  </si>
  <si>
    <t xml:space="preserve">    2.财力性转移支付</t>
  </si>
  <si>
    <t xml:space="preserve">    3.专项转移支付</t>
  </si>
  <si>
    <t xml:space="preserve">    4.预算外转移支出</t>
  </si>
  <si>
    <t xml:space="preserve"> （二）上解省支出</t>
  </si>
  <si>
    <t xml:space="preserve">  （一）补助区级支出</t>
  </si>
  <si>
    <t xml:space="preserve">  （二）上解省支出</t>
  </si>
  <si>
    <t xml:space="preserve">    1.返还性收入</t>
  </si>
  <si>
    <t xml:space="preserve"> （一）省级补助收入</t>
  </si>
  <si>
    <t xml:space="preserve">   2.财力性转移支付收入</t>
  </si>
  <si>
    <t xml:space="preserve">   1.返还性收入</t>
  </si>
  <si>
    <t xml:space="preserve">   3.专项转移支付收入</t>
  </si>
  <si>
    <t xml:space="preserve"> （二）省级转贷地方债收入</t>
  </si>
  <si>
    <t xml:space="preserve">   1.政府性基金调入资金</t>
  </si>
  <si>
    <t xml:space="preserve">   3.其他调入</t>
  </si>
  <si>
    <t xml:space="preserve">   1.返还性支出</t>
  </si>
  <si>
    <t xml:space="preserve">   2.财力性转移支付</t>
  </si>
  <si>
    <t xml:space="preserve">   3.专项转移支付</t>
  </si>
  <si>
    <t xml:space="preserve">   4.预算外转移支出</t>
  </si>
  <si>
    <t xml:space="preserve">    2.财力性转移支付收入</t>
  </si>
  <si>
    <t xml:space="preserve">    3.专项转移支付收入</t>
  </si>
  <si>
    <t xml:space="preserve">    3.其他调入</t>
  </si>
  <si>
    <t xml:space="preserve"> （五）区级上解收入</t>
  </si>
  <si>
    <t xml:space="preserve"> （一）省补助收入</t>
  </si>
  <si>
    <t xml:space="preserve">  （三）消化历年体制欠款及决算挂账支出</t>
  </si>
  <si>
    <t xml:space="preserve">  </t>
  </si>
  <si>
    <t xml:space="preserve">     支                                                           出</t>
  </si>
  <si>
    <t>收入项目</t>
  </si>
  <si>
    <t xml:space="preserve">             收                                                入</t>
  </si>
  <si>
    <t>全市一般性经常性收入合计</t>
  </si>
  <si>
    <t xml:space="preserve">完成数  </t>
  </si>
  <si>
    <t xml:space="preserve"> （三）消化历年体制欠款及消化挂账支出</t>
  </si>
  <si>
    <t xml:space="preserve">  2.行政事业性收费收入</t>
  </si>
  <si>
    <t xml:space="preserve">  3.罚没收入</t>
  </si>
  <si>
    <t xml:space="preserve">  5.国有资源（资产）有偿使用收入</t>
  </si>
  <si>
    <t xml:space="preserve">  6.其他收入</t>
  </si>
  <si>
    <t xml:space="preserve">  4.国有资产经营收益</t>
  </si>
  <si>
    <t>2.行政事业性收费收入</t>
  </si>
  <si>
    <t>3.罚没收入</t>
  </si>
  <si>
    <t>十四、资源勘探电力信息等事务</t>
  </si>
  <si>
    <t>十六、国土资源气象等事务</t>
  </si>
  <si>
    <t>十七、住房保障支出</t>
  </si>
  <si>
    <t>十九、其他支出</t>
  </si>
  <si>
    <t>增收</t>
  </si>
  <si>
    <t>增长率</t>
  </si>
  <si>
    <t>增长率</t>
  </si>
  <si>
    <t>增长额</t>
  </si>
  <si>
    <t xml:space="preserve">  （五）预算稳定调节基金</t>
  </si>
  <si>
    <t xml:space="preserve"> （五）预算稳定调节基金</t>
  </si>
  <si>
    <t>2012年</t>
  </si>
  <si>
    <t>项目</t>
  </si>
  <si>
    <t>表一</t>
  </si>
  <si>
    <t>单位：万元</t>
  </si>
  <si>
    <t>收                                                 入</t>
  </si>
  <si>
    <t>支出项目（按功能分类）</t>
  </si>
  <si>
    <t>完成数</t>
  </si>
  <si>
    <t>完成预算%</t>
  </si>
  <si>
    <t>一、税收收入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</si>
  <si>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</si>
  <si>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</si>
  <si>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</si>
  <si>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</si>
  <si>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</si>
  <si>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</si>
  <si>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</si>
  <si>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</si>
  <si>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九、医疗卫生</t>
  </si>
  <si>
    <t>十、节能环保</t>
  </si>
  <si>
    <t>十一、城乡社区事务</t>
  </si>
  <si>
    <t>十二、农林水事务</t>
  </si>
  <si>
    <t>十三、交通运输</t>
  </si>
  <si>
    <t>二、非税收入</t>
  </si>
  <si>
    <t>十五、商业服务业等事务</t>
  </si>
  <si>
    <t>1.预备费</t>
  </si>
  <si>
    <t>2.住房改革支出</t>
  </si>
  <si>
    <t>3.其他支出</t>
  </si>
  <si>
    <t xml:space="preserve">   2.预算稳定调节基金调入资金</t>
  </si>
  <si>
    <t>表三</t>
  </si>
  <si>
    <t xml:space="preserve"> 项  目</t>
  </si>
  <si>
    <t>完成预算％</t>
  </si>
  <si>
    <r>
      <t>预算数</t>
    </r>
  </si>
  <si>
    <t xml:space="preserve">      1.增值税</t>
  </si>
  <si>
    <t xml:space="preserve">      2.营业税</t>
  </si>
  <si>
    <t xml:space="preserve">      3.企业所得税</t>
  </si>
  <si>
    <t xml:space="preserve">      4.个人所得税</t>
  </si>
  <si>
    <t xml:space="preserve">      5.土地增值税</t>
  </si>
  <si>
    <t xml:space="preserve">      6.契税</t>
  </si>
  <si>
    <t xml:space="preserve">      7.资源税</t>
  </si>
  <si>
    <t xml:space="preserve">      8.城市维护建设税</t>
  </si>
  <si>
    <t xml:space="preserve">      9.房产税</t>
  </si>
  <si>
    <t xml:space="preserve">      10.印花税</t>
  </si>
  <si>
    <t xml:space="preserve">      11.城镇土地使用税</t>
  </si>
  <si>
    <t xml:space="preserve">      12.车船税</t>
  </si>
  <si>
    <t xml:space="preserve">      13.耕地占用税</t>
  </si>
  <si>
    <t xml:space="preserve">      14.国有资产经营收益</t>
  </si>
  <si>
    <t xml:space="preserve">      15.行政性收费收入</t>
  </si>
  <si>
    <t xml:space="preserve">      16.罚没收入</t>
  </si>
  <si>
    <t xml:space="preserve">      17.国有资源（资产）有偿使用收入</t>
  </si>
  <si>
    <t xml:space="preserve">      18.专项收入</t>
  </si>
  <si>
    <t xml:space="preserve">      19.其他收入</t>
  </si>
  <si>
    <t>表四</t>
  </si>
  <si>
    <t xml:space="preserve">              收                                      入</t>
  </si>
  <si>
    <t>项          目</t>
  </si>
  <si>
    <t>2.其他支出</t>
  </si>
  <si>
    <t xml:space="preserve"> （三）消化历年体制欠款及决算挂账支出</t>
  </si>
  <si>
    <t>表五</t>
  </si>
  <si>
    <t>支                                             出</t>
  </si>
  <si>
    <t>1.增值税</t>
  </si>
  <si>
    <t>2.营业税</t>
  </si>
  <si>
    <t>3.企业所得税</t>
  </si>
  <si>
    <t>4.个人所得税</t>
  </si>
  <si>
    <t>5.土地增值税</t>
  </si>
  <si>
    <t>6.契税</t>
  </si>
  <si>
    <t>7.资源税</t>
  </si>
  <si>
    <t>8.城市维护建设税</t>
  </si>
  <si>
    <t>9.房产税</t>
  </si>
  <si>
    <t>10.印花税</t>
  </si>
  <si>
    <t>11.城镇土地使用税</t>
  </si>
  <si>
    <t>12.车船使用和牌照税</t>
  </si>
  <si>
    <t>13.耕地占用税</t>
  </si>
  <si>
    <t>1.专项收入</t>
  </si>
  <si>
    <t xml:space="preserve">    1.预算稳定调节基金调入资金</t>
  </si>
  <si>
    <t xml:space="preserve">    2.政府性基金调入资金</t>
  </si>
  <si>
    <t>（按财政部统计口径）</t>
  </si>
  <si>
    <r>
      <t xml:space="preserve">收 </t>
    </r>
    <r>
      <rPr>
        <sz val="12"/>
        <rFont val="宋体"/>
        <family val="0"/>
      </rPr>
      <t xml:space="preserve">            入</t>
    </r>
  </si>
  <si>
    <r>
      <t xml:space="preserve">支 </t>
    </r>
    <r>
      <rPr>
        <sz val="12"/>
        <rFont val="宋体"/>
        <family val="0"/>
      </rPr>
      <t xml:space="preserve">             出</t>
    </r>
  </si>
  <si>
    <t>市本级一般性经常性收入</t>
  </si>
  <si>
    <t>一、全市地方一般预算经常性收入</t>
  </si>
  <si>
    <t xml:space="preserve"> （一）税收收入</t>
  </si>
  <si>
    <r>
      <t xml:space="preserve">        1.</t>
    </r>
    <r>
      <rPr>
        <sz val="12"/>
        <rFont val="宋体"/>
        <family val="0"/>
      </rPr>
      <t>增值税</t>
    </r>
  </si>
  <si>
    <r>
      <t xml:space="preserve">        2.</t>
    </r>
    <r>
      <rPr>
        <sz val="12"/>
        <rFont val="宋体"/>
        <family val="0"/>
      </rPr>
      <t>营业税</t>
    </r>
  </si>
  <si>
    <r>
      <t xml:space="preserve">        3.</t>
    </r>
    <r>
      <rPr>
        <sz val="12"/>
        <rFont val="宋体"/>
        <family val="0"/>
      </rPr>
      <t>企业所得税</t>
    </r>
  </si>
  <si>
    <r>
      <t xml:space="preserve">        4.</t>
    </r>
    <r>
      <rPr>
        <sz val="12"/>
        <rFont val="宋体"/>
        <family val="0"/>
      </rPr>
      <t>个人所得税</t>
    </r>
  </si>
  <si>
    <r>
      <t xml:space="preserve">        5.</t>
    </r>
    <r>
      <rPr>
        <sz val="12"/>
        <rFont val="宋体"/>
        <family val="0"/>
      </rPr>
      <t>土地增值税</t>
    </r>
  </si>
  <si>
    <r>
      <t xml:space="preserve">        6.</t>
    </r>
    <r>
      <rPr>
        <sz val="12"/>
        <rFont val="宋体"/>
        <family val="0"/>
      </rPr>
      <t>契税</t>
    </r>
  </si>
  <si>
    <r>
      <t xml:space="preserve">        7.</t>
    </r>
    <r>
      <rPr>
        <sz val="12"/>
        <rFont val="宋体"/>
        <family val="0"/>
      </rPr>
      <t>房产税</t>
    </r>
  </si>
  <si>
    <r>
      <t xml:space="preserve">        8.</t>
    </r>
    <r>
      <rPr>
        <sz val="12"/>
        <rFont val="宋体"/>
        <family val="0"/>
      </rPr>
      <t>其他税收收入</t>
    </r>
  </si>
  <si>
    <r>
      <t xml:space="preserve">  </t>
    </r>
    <r>
      <rPr>
        <sz val="12"/>
        <rFont val="宋体"/>
        <family val="0"/>
      </rPr>
      <t>（二）非税收入</t>
    </r>
  </si>
  <si>
    <r>
      <t xml:space="preserve">       1.</t>
    </r>
    <r>
      <rPr>
        <sz val="12"/>
        <rFont val="宋体"/>
        <family val="0"/>
      </rPr>
      <t>国有资源有偿使用收入</t>
    </r>
  </si>
  <si>
    <t>二、转移性收入</t>
  </si>
  <si>
    <r>
      <t xml:space="preserve">  </t>
    </r>
    <r>
      <rPr>
        <sz val="12"/>
        <rFont val="宋体"/>
        <family val="0"/>
      </rPr>
      <t>（一）返还性收入</t>
    </r>
  </si>
  <si>
    <r>
      <t xml:space="preserve">      1.“</t>
    </r>
    <r>
      <rPr>
        <sz val="12"/>
        <rFont val="宋体"/>
        <family val="0"/>
      </rPr>
      <t>两税”返还收入</t>
    </r>
  </si>
  <si>
    <r>
      <t xml:space="preserve">      2.</t>
    </r>
    <r>
      <rPr>
        <sz val="12"/>
        <rFont val="宋体"/>
        <family val="0"/>
      </rPr>
      <t>所得税基数返还收入</t>
    </r>
  </si>
  <si>
    <r>
      <t xml:space="preserve">      3.</t>
    </r>
    <r>
      <rPr>
        <sz val="12"/>
        <rFont val="宋体"/>
        <family val="0"/>
      </rPr>
      <t>体制补助收入</t>
    </r>
  </si>
  <si>
    <r>
      <t xml:space="preserve">  </t>
    </r>
    <r>
      <rPr>
        <sz val="12"/>
        <rFont val="宋体"/>
        <family val="0"/>
      </rPr>
      <t>（二）财力性转移支付收入</t>
    </r>
  </si>
  <si>
    <r>
      <t xml:space="preserve">      1.</t>
    </r>
    <r>
      <rPr>
        <sz val="12"/>
        <rFont val="宋体"/>
        <family val="0"/>
      </rPr>
      <t>均衡性转移支付收入</t>
    </r>
  </si>
  <si>
    <t>三、减：市对区级财力性支出</t>
  </si>
  <si>
    <t>（一）返还性支出</t>
  </si>
  <si>
    <r>
      <t xml:space="preserve">      1.</t>
    </r>
    <r>
      <rPr>
        <sz val="12"/>
        <rFont val="宋体"/>
        <family val="0"/>
      </rPr>
      <t>“两税”返还</t>
    </r>
  </si>
  <si>
    <r>
      <t xml:space="preserve">      2.</t>
    </r>
    <r>
      <rPr>
        <sz val="12"/>
        <rFont val="宋体"/>
        <family val="0"/>
      </rPr>
      <t>所得税基数返还</t>
    </r>
  </si>
  <si>
    <r>
      <t xml:space="preserve">      3.</t>
    </r>
    <r>
      <rPr>
        <sz val="12"/>
        <rFont val="宋体"/>
        <family val="0"/>
      </rPr>
      <t>体制补助区级支出</t>
    </r>
  </si>
  <si>
    <t>（二）财力性转移支付</t>
  </si>
  <si>
    <r>
      <t xml:space="preserve">      1.</t>
    </r>
    <r>
      <rPr>
        <sz val="12"/>
        <rFont val="宋体"/>
        <family val="0"/>
      </rPr>
      <t>均衡性转移支付支出</t>
    </r>
  </si>
  <si>
    <t>执行数</t>
  </si>
  <si>
    <t>表八</t>
  </si>
  <si>
    <t xml:space="preserve">  收支相抵结余结转</t>
  </si>
  <si>
    <t xml:space="preserve">    4.预算外转移支付</t>
  </si>
  <si>
    <t>二十、转移性支付</t>
  </si>
  <si>
    <t>2012年市本级一般预算经常性收入及三项法定支出完成情况表</t>
  </si>
  <si>
    <t>2013年</t>
  </si>
  <si>
    <t xml:space="preserve">2011年             完成数 </t>
  </si>
  <si>
    <t xml:space="preserve">2011年          完成数 </t>
  </si>
  <si>
    <t>2011年完成数</t>
  </si>
  <si>
    <t xml:space="preserve">  （六）地方债券还本支出</t>
  </si>
  <si>
    <t xml:space="preserve"> （六）地方债券还本支出</t>
  </si>
  <si>
    <t>4.国有资源（资产）有偿使用收入</t>
  </si>
  <si>
    <t>5.其他收入</t>
  </si>
  <si>
    <t xml:space="preserve">  4.国有资源（资产）有偿使用收入</t>
  </si>
  <si>
    <t>2012年</t>
  </si>
  <si>
    <r>
      <t>20</t>
    </r>
    <r>
      <rPr>
        <sz val="12"/>
        <rFont val="宋体"/>
        <family val="0"/>
      </rPr>
      <t>1</t>
    </r>
    <r>
      <rPr>
        <sz val="12"/>
        <rFont val="宋体"/>
        <family val="0"/>
      </rPr>
      <t>1</t>
    </r>
    <r>
      <rPr>
        <sz val="12"/>
        <rFont val="宋体"/>
        <family val="0"/>
      </rPr>
      <t>年完成数</t>
    </r>
  </si>
  <si>
    <r>
      <t>20</t>
    </r>
    <r>
      <rPr>
        <sz val="12"/>
        <rFont val="宋体"/>
        <family val="0"/>
      </rPr>
      <t>1</t>
    </r>
    <r>
      <rPr>
        <sz val="12"/>
        <rFont val="宋体"/>
        <family val="0"/>
      </rPr>
      <t>2</t>
    </r>
    <r>
      <rPr>
        <sz val="12"/>
        <rFont val="宋体"/>
        <family val="0"/>
      </rPr>
      <t>年</t>
    </r>
  </si>
  <si>
    <r>
      <t>事业离退休人员绩效工资较2</t>
    </r>
    <r>
      <rPr>
        <sz val="12"/>
        <rFont val="宋体"/>
        <family val="0"/>
      </rPr>
      <t>012年减少安排8000万元</t>
    </r>
  </si>
  <si>
    <r>
      <t>航空奖励资金较2</t>
    </r>
    <r>
      <rPr>
        <sz val="12"/>
        <rFont val="宋体"/>
        <family val="0"/>
      </rPr>
      <t>012年增加安排约7000万元</t>
    </r>
  </si>
  <si>
    <t>调到基金中安排约2亿元</t>
  </si>
  <si>
    <t>污水处理费调到基金中安排</t>
  </si>
  <si>
    <r>
      <t>剔除地债因素，增长率为</t>
    </r>
    <r>
      <rPr>
        <sz val="12"/>
        <rFont val="宋体"/>
        <family val="0"/>
      </rPr>
      <t>18.6%（114326+18000）/111506</t>
    </r>
  </si>
  <si>
    <t>拆迁人工作经费按实际科目</t>
  </si>
  <si>
    <t>全市地方公共财政收入</t>
  </si>
  <si>
    <t>全市地方公共财政总收入合计</t>
  </si>
  <si>
    <t>全市地方公共财政支出</t>
  </si>
  <si>
    <t>全市地方公共财政总支出合计</t>
  </si>
  <si>
    <t>市本级地方公共财政收入</t>
  </si>
  <si>
    <t>市本级地方公共财政总收入合计</t>
  </si>
  <si>
    <t>市本级地方公共财政支出</t>
  </si>
  <si>
    <t>市本级地方公共财政总支出合计</t>
  </si>
  <si>
    <t>三项法定支出合计</t>
  </si>
  <si>
    <t>一、农林水事务支出</t>
  </si>
  <si>
    <t>二、教育支出</t>
  </si>
  <si>
    <t>三、科技支出</t>
  </si>
  <si>
    <t>十六、金融监管等事务支出</t>
  </si>
  <si>
    <t>十七、国土资源气象等事务</t>
  </si>
  <si>
    <t>十八、住房保障支出</t>
  </si>
  <si>
    <t>二十、其他支出</t>
  </si>
  <si>
    <t xml:space="preserve">  5.其他收入</t>
  </si>
  <si>
    <t>表二</t>
  </si>
  <si>
    <t>支                                                 出</t>
  </si>
  <si>
    <t xml:space="preserve">预算数           </t>
  </si>
  <si>
    <t xml:space="preserve">完成数           </t>
  </si>
  <si>
    <t xml:space="preserve">预算数       </t>
  </si>
  <si>
    <t xml:space="preserve"> （四）调入资金</t>
  </si>
  <si>
    <t xml:space="preserve">   1.预算稳定调节基金调入资金</t>
  </si>
  <si>
    <t xml:space="preserve">   2.政府性基金调入资金</t>
  </si>
  <si>
    <t xml:space="preserve">   收支相抵结余结转</t>
  </si>
  <si>
    <t>2011年       完成数</t>
  </si>
  <si>
    <t>2013年海口市财政收入预算表</t>
  </si>
  <si>
    <t xml:space="preserve">  地方公共财政收入</t>
  </si>
  <si>
    <t>2012年海口市地方公共财政预算执行情况表</t>
  </si>
  <si>
    <t>2012年海口市市本级地方公共财政预算执行情况表</t>
  </si>
  <si>
    <t>2013年海口市地方公共财政预算收支情况表</t>
  </si>
  <si>
    <t>2013年海口市市本级地方公共财政预算收支情况表</t>
  </si>
  <si>
    <t>2013年预算数</t>
  </si>
  <si>
    <t>2012年执行数</t>
  </si>
  <si>
    <t>一、企业职工基本养老保险基金收入</t>
  </si>
  <si>
    <t>一、企业职工基本养老保险基金支出</t>
  </si>
  <si>
    <t>二、失业保险基金收入</t>
  </si>
  <si>
    <t>二、失业保险基金支出</t>
  </si>
  <si>
    <t>三、城镇职工基本医疗保险基金收入</t>
  </si>
  <si>
    <t>三、城镇职工基本医疗保险基金支出</t>
  </si>
  <si>
    <t>四、工伤保险基金收入</t>
  </si>
  <si>
    <t>四、工伤保险基金支出</t>
  </si>
  <si>
    <t>单位：万元</t>
  </si>
  <si>
    <t>收                                 入</t>
  </si>
  <si>
    <t>支                                 出</t>
  </si>
  <si>
    <t>项  目</t>
  </si>
  <si>
    <t>2012年预算数</t>
  </si>
  <si>
    <t>2012年执行数</t>
  </si>
  <si>
    <t>完成预算%</t>
  </si>
  <si>
    <t>增长率%</t>
  </si>
  <si>
    <t>项　目</t>
  </si>
  <si>
    <t>全市社会保险基金收入合计</t>
  </si>
  <si>
    <t>全市社会保险基金支出合计</t>
  </si>
  <si>
    <t>全市社会保险基金本年收支结余</t>
  </si>
  <si>
    <r>
      <t>五、生育保险基金</t>
    </r>
    <r>
      <rPr>
        <b/>
        <sz val="9"/>
        <color indexed="8"/>
        <rFont val="宋体"/>
        <family val="0"/>
      </rPr>
      <t>支出</t>
    </r>
  </si>
  <si>
    <r>
      <t>六、居民社会养老保险基金</t>
    </r>
    <r>
      <rPr>
        <b/>
        <sz val="9"/>
        <color indexed="8"/>
        <rFont val="宋体"/>
        <family val="0"/>
      </rPr>
      <t>支出</t>
    </r>
  </si>
  <si>
    <r>
      <t xml:space="preserve">        </t>
    </r>
    <r>
      <rPr>
        <b/>
        <sz val="9"/>
        <color indexed="8"/>
        <rFont val="宋体"/>
        <family val="0"/>
      </rPr>
      <t>(一)</t>
    </r>
    <r>
      <rPr>
        <b/>
        <sz val="9"/>
        <rFont val="Times New Roman"/>
        <family val="1"/>
      </rPr>
      <t xml:space="preserve"> </t>
    </r>
    <r>
      <rPr>
        <b/>
        <sz val="9"/>
        <color indexed="8"/>
        <rFont val="宋体"/>
        <family val="0"/>
      </rPr>
      <t>城镇居民社会养老保险基金收入</t>
    </r>
  </si>
  <si>
    <r>
      <t>　　(一)</t>
    </r>
    <r>
      <rPr>
        <b/>
        <sz val="9"/>
        <rFont val="Times New Roman"/>
        <family val="1"/>
      </rPr>
      <t xml:space="preserve"> </t>
    </r>
    <r>
      <rPr>
        <b/>
        <sz val="9"/>
        <color indexed="8"/>
        <rFont val="宋体"/>
        <family val="0"/>
      </rPr>
      <t>城镇居民社会养老保险基金支出</t>
    </r>
  </si>
  <si>
    <r>
      <t xml:space="preserve">        </t>
    </r>
    <r>
      <rPr>
        <b/>
        <sz val="9"/>
        <color indexed="8"/>
        <rFont val="宋体"/>
        <family val="0"/>
      </rPr>
      <t>(二)</t>
    </r>
    <r>
      <rPr>
        <b/>
        <sz val="9"/>
        <rFont val="Times New Roman"/>
        <family val="1"/>
      </rPr>
      <t xml:space="preserve"> </t>
    </r>
    <r>
      <rPr>
        <b/>
        <sz val="9"/>
        <color indexed="8"/>
        <rFont val="宋体"/>
        <family val="0"/>
      </rPr>
      <t>新型农村社会养老保险基金收入</t>
    </r>
  </si>
  <si>
    <r>
      <t>　　(二)</t>
    </r>
    <r>
      <rPr>
        <b/>
        <sz val="9"/>
        <rFont val="Times New Roman"/>
        <family val="1"/>
      </rPr>
      <t xml:space="preserve"> </t>
    </r>
    <r>
      <rPr>
        <b/>
        <sz val="9"/>
        <color indexed="8"/>
        <rFont val="宋体"/>
        <family val="0"/>
      </rPr>
      <t>新型农村社会养老保险基金支出</t>
    </r>
  </si>
  <si>
    <r>
      <t>七、居民基本医疗保险基金</t>
    </r>
    <r>
      <rPr>
        <b/>
        <sz val="9"/>
        <color indexed="8"/>
        <rFont val="宋体"/>
        <family val="0"/>
      </rPr>
      <t>支出</t>
    </r>
  </si>
  <si>
    <r>
      <t xml:space="preserve">        </t>
    </r>
    <r>
      <rPr>
        <b/>
        <sz val="9"/>
        <color indexed="8"/>
        <rFont val="宋体"/>
        <family val="0"/>
      </rPr>
      <t>(一)</t>
    </r>
    <r>
      <rPr>
        <b/>
        <sz val="9"/>
        <rFont val="Times New Roman"/>
        <family val="1"/>
      </rPr>
      <t xml:space="preserve"> </t>
    </r>
    <r>
      <rPr>
        <b/>
        <sz val="9"/>
        <color indexed="8"/>
        <rFont val="宋体"/>
        <family val="0"/>
      </rPr>
      <t>城镇居民基本医疗保险基金收入</t>
    </r>
  </si>
  <si>
    <r>
      <t>　　(一)</t>
    </r>
    <r>
      <rPr>
        <b/>
        <sz val="9"/>
        <rFont val="Times New Roman"/>
        <family val="1"/>
      </rPr>
      <t xml:space="preserve"> </t>
    </r>
    <r>
      <rPr>
        <b/>
        <sz val="9"/>
        <color indexed="8"/>
        <rFont val="宋体"/>
        <family val="0"/>
      </rPr>
      <t xml:space="preserve">城镇居民基本医疗保险基金支出 </t>
    </r>
  </si>
  <si>
    <t xml:space="preserve">    (二) 新型农村合作医疗基金收入</t>
  </si>
  <si>
    <t>　　(二) 新型农村合作医疗基金支出</t>
  </si>
  <si>
    <t>八、事业单位基本养老保险基金收入</t>
  </si>
  <si>
    <t>八、事业单位基本养老保险基金支出</t>
  </si>
  <si>
    <t>2013年海口市社会保险基金收支预算表</t>
  </si>
  <si>
    <t xml:space="preserve">    年末累计结余</t>
  </si>
  <si>
    <t>表七</t>
  </si>
  <si>
    <t>十八、粮油物资储备事务</t>
  </si>
  <si>
    <t>十九、粮油物资储备事务</t>
  </si>
  <si>
    <r>
      <t>五、生育保险基金</t>
    </r>
    <r>
      <rPr>
        <b/>
        <sz val="9"/>
        <color indexed="8"/>
        <rFont val="宋体"/>
        <family val="0"/>
      </rPr>
      <t>收入</t>
    </r>
  </si>
  <si>
    <r>
      <t>六、居民社会养老保险基金</t>
    </r>
    <r>
      <rPr>
        <b/>
        <sz val="9"/>
        <color indexed="8"/>
        <rFont val="宋体"/>
        <family val="0"/>
      </rPr>
      <t>收入</t>
    </r>
  </si>
  <si>
    <r>
      <t>七、居民基本医疗保险基金</t>
    </r>
    <r>
      <rPr>
        <b/>
        <sz val="9"/>
        <color indexed="8"/>
        <rFont val="宋体"/>
        <family val="0"/>
      </rPr>
      <t>收入</t>
    </r>
  </si>
  <si>
    <t xml:space="preserve">      1.年终结转（含地方债）</t>
  </si>
  <si>
    <t xml:space="preserve">      2.年终净结余</t>
  </si>
  <si>
    <t xml:space="preserve"> （三）上年结余结转收入</t>
  </si>
  <si>
    <t xml:space="preserve">   1.上年结转收入</t>
  </si>
  <si>
    <t xml:space="preserve">   2.上年净结余</t>
  </si>
  <si>
    <t xml:space="preserve"> （四）调出资金</t>
  </si>
  <si>
    <t xml:space="preserve">  （四）调出资金</t>
  </si>
  <si>
    <t>表六</t>
  </si>
  <si>
    <t>2013年海口市政府性基金预算收支表</t>
  </si>
  <si>
    <t>单位：万元</t>
  </si>
  <si>
    <t xml:space="preserve">收           入  </t>
  </si>
  <si>
    <t xml:space="preserve">支           出  </t>
  </si>
  <si>
    <t>项          目</t>
  </si>
  <si>
    <t>2011年</t>
  </si>
  <si>
    <t>2013年</t>
  </si>
  <si>
    <t>比上年执行数 + - %</t>
  </si>
  <si>
    <t>完成数</t>
  </si>
  <si>
    <t>比上年完成数 + - %</t>
  </si>
  <si>
    <t>预算数</t>
  </si>
  <si>
    <t>一、高等级公路车辆通行附加费收入</t>
  </si>
  <si>
    <t>一、一般公共服务</t>
  </si>
  <si>
    <t>二、散装水泥专项资金收入</t>
  </si>
  <si>
    <t xml:space="preserve">     商贸事务</t>
  </si>
  <si>
    <t>三、新型墙体材料专项基金收入</t>
  </si>
  <si>
    <t xml:space="preserve">         贸促会收费安排的支出</t>
  </si>
  <si>
    <t>四、文化事业建设费收入</t>
  </si>
  <si>
    <t>二、教育</t>
  </si>
  <si>
    <t>五、国家电影事业发展专项资金收入</t>
  </si>
  <si>
    <t xml:space="preserve">     地方教育附加支出</t>
  </si>
  <si>
    <t>六、地方教育附加收入</t>
  </si>
  <si>
    <t>三、文化体育与传媒</t>
  </si>
  <si>
    <t>七、新增建设用地土地有偿使用费收入</t>
  </si>
  <si>
    <t xml:space="preserve">     文化事业建设费支出</t>
  </si>
  <si>
    <t>八、育林基金收入</t>
  </si>
  <si>
    <t xml:space="preserve">     国家电影发展专项资金支出</t>
  </si>
  <si>
    <t>九、森林植被恢复费</t>
  </si>
  <si>
    <t>四、社会保障和就业</t>
  </si>
  <si>
    <t>十、地方水利建设基金收入</t>
  </si>
  <si>
    <t xml:space="preserve">     残疾人就业保障金支出</t>
  </si>
  <si>
    <t>十一、残疾人就业保障金收入</t>
  </si>
  <si>
    <t xml:space="preserve">     大中型水库移民后期扶持基金支出</t>
  </si>
  <si>
    <t>十二、政府住房基金收入</t>
  </si>
  <si>
    <t xml:space="preserve">     小型水库移民扶持基金支出</t>
  </si>
  <si>
    <t>十三、城市公用事业附加收入</t>
  </si>
  <si>
    <t>五、城乡社区事务</t>
  </si>
  <si>
    <t>十四、国有土地使用权出让金收入</t>
  </si>
  <si>
    <t xml:space="preserve">     政府住房基金支出</t>
  </si>
  <si>
    <t xml:space="preserve">       其中：国有土地使用权出让金收入</t>
  </si>
  <si>
    <t xml:space="preserve">     国有土地使用权出让金支出</t>
  </si>
  <si>
    <t xml:space="preserve">             缴纳新增建设用地有偿使用费</t>
  </si>
  <si>
    <r>
      <t xml:space="preserve">                    </t>
    </r>
    <r>
      <rPr>
        <sz val="10"/>
        <rFont val="宋体"/>
        <family val="0"/>
      </rPr>
      <t>偿还政府债务支出</t>
    </r>
  </si>
  <si>
    <t>十五、国有土地收益基金收入</t>
  </si>
  <si>
    <r>
      <t xml:space="preserve">                    </t>
    </r>
    <r>
      <rPr>
        <sz val="10"/>
        <rFont val="宋体"/>
        <family val="0"/>
      </rPr>
      <t>政府投资项目开行贷款配套资金</t>
    </r>
  </si>
  <si>
    <t>十六、农业土地开发资金收入</t>
  </si>
  <si>
    <r>
      <t xml:space="preserve">                    </t>
    </r>
    <r>
      <rPr>
        <sz val="10"/>
        <rFont val="宋体"/>
        <family val="0"/>
      </rPr>
      <t>国土部门土地成本性支出</t>
    </r>
  </si>
  <si>
    <t>十七、彩票公益金收入</t>
  </si>
  <si>
    <r>
      <t xml:space="preserve">                            </t>
    </r>
    <r>
      <rPr>
        <sz val="10"/>
        <rFont val="宋体"/>
        <family val="0"/>
      </rPr>
      <t>其中：偿债准备金</t>
    </r>
  </si>
  <si>
    <t>十八、城市基础设施配套费收入</t>
  </si>
  <si>
    <r>
      <t xml:space="preserve">                                         </t>
    </r>
    <r>
      <rPr>
        <sz val="10"/>
        <rFont val="宋体"/>
        <family val="0"/>
      </rPr>
      <t>土地出让业务费</t>
    </r>
  </si>
  <si>
    <t>十九、小型水库移民扶助基金收入</t>
  </si>
  <si>
    <r>
      <t xml:space="preserve">                                          </t>
    </r>
    <r>
      <rPr>
        <sz val="10"/>
        <rFont val="宋体"/>
        <family val="0"/>
      </rPr>
      <t>被征地农民社会保障专项资金</t>
    </r>
  </si>
  <si>
    <t>二十、大中型水库库区基金收入</t>
  </si>
  <si>
    <r>
      <t xml:space="preserve">                                          </t>
    </r>
    <r>
      <rPr>
        <sz val="10"/>
        <rFont val="宋体"/>
        <family val="0"/>
      </rPr>
      <t>廉租住房建设资金</t>
    </r>
  </si>
  <si>
    <t>二十一、国家重大水利工程建设基金收入</t>
  </si>
  <si>
    <t>二十二、船舶港务费</t>
  </si>
  <si>
    <t>二十三、贸促会收费</t>
  </si>
  <si>
    <r>
      <t xml:space="preserve">                                          </t>
    </r>
    <r>
      <rPr>
        <sz val="10"/>
        <rFont val="宋体"/>
        <family val="0"/>
      </rPr>
      <t>桂林洋换地权益书支出</t>
    </r>
  </si>
  <si>
    <t>二十四、无线电频率占用费</t>
  </si>
  <si>
    <r>
      <t xml:space="preserve">                                          </t>
    </r>
    <r>
      <rPr>
        <sz val="10"/>
        <rFont val="宋体"/>
        <family val="0"/>
      </rPr>
      <t>土地运作储备等土地成本性支出</t>
    </r>
  </si>
  <si>
    <t>二十五、港口建设费</t>
  </si>
  <si>
    <r>
      <t xml:space="preserve">                    </t>
    </r>
    <r>
      <rPr>
        <sz val="10"/>
        <rFont val="宋体"/>
        <family val="0"/>
      </rPr>
      <t>其他上级补助的国有土地使用权出让金支出</t>
    </r>
  </si>
  <si>
    <t>二十六、其他政府性基金收入</t>
  </si>
  <si>
    <t xml:space="preserve">     城市公用事业附加支出</t>
  </si>
  <si>
    <t xml:space="preserve">     国有土地收益基金支出</t>
  </si>
  <si>
    <t xml:space="preserve">     农业土地开发资金支出</t>
  </si>
  <si>
    <t xml:space="preserve">     新增建设用地有偿使用费支出</t>
  </si>
  <si>
    <t xml:space="preserve">     城市基础设施配套费支出</t>
  </si>
  <si>
    <t>六、农林水事务</t>
  </si>
  <si>
    <t xml:space="preserve">     育林基金支出</t>
  </si>
  <si>
    <t xml:space="preserve">     森林植被恢复费支出</t>
  </si>
  <si>
    <t xml:space="preserve">     中央水利建设基金支出</t>
  </si>
  <si>
    <t xml:space="preserve">     地方水利建设基金支出</t>
  </si>
  <si>
    <t xml:space="preserve">     大中型水库库区基金支出</t>
  </si>
  <si>
    <t xml:space="preserve">     国家重大水利工程建设基金收入</t>
  </si>
  <si>
    <t>七、交通运输</t>
  </si>
  <si>
    <t>　</t>
  </si>
  <si>
    <t xml:space="preserve">     船舶港务费安排的支出</t>
  </si>
  <si>
    <t xml:space="preserve">     海南省高等级公路车辆通行附加费支出</t>
  </si>
  <si>
    <t xml:space="preserve">     港口建设费安排的支出</t>
  </si>
  <si>
    <t xml:space="preserve">     民航机场管理建设费安排的支出</t>
  </si>
  <si>
    <t>八、资源勘探电力信息等事务</t>
  </si>
  <si>
    <t xml:space="preserve">     散装水泥专项资金支出</t>
  </si>
  <si>
    <t xml:space="preserve">     新型墙体材料专项基金支出</t>
  </si>
  <si>
    <t xml:space="preserve">     无线电频率占用费安排的支出</t>
  </si>
  <si>
    <t>九、商业服务业等事务</t>
  </si>
  <si>
    <t xml:space="preserve">     旅游发展基金支出</t>
  </si>
  <si>
    <t>十、其他支出</t>
  </si>
  <si>
    <t xml:space="preserve">     彩票公益金支出</t>
  </si>
  <si>
    <t xml:space="preserve">     其他政府性基金支出</t>
  </si>
  <si>
    <t xml:space="preserve">     地方政府性基金预算收入合计</t>
  </si>
  <si>
    <t>地方政府性基金预算支出合计</t>
  </si>
  <si>
    <t xml:space="preserve">        政府性基金补助收入</t>
  </si>
  <si>
    <t xml:space="preserve">         政府性基金补助支出</t>
  </si>
  <si>
    <t xml:space="preserve">        调入资金</t>
  </si>
  <si>
    <t xml:space="preserve">         调出资金</t>
  </si>
  <si>
    <t xml:space="preserve">        上年结转收入</t>
  </si>
  <si>
    <t xml:space="preserve">        政府性基金收入总计</t>
  </si>
  <si>
    <t xml:space="preserve">         政府性基金支出总计</t>
  </si>
  <si>
    <t xml:space="preserve">         收支相抵结余结转</t>
  </si>
  <si>
    <t xml:space="preserve">              年终结转</t>
  </si>
  <si>
    <t xml:space="preserve">              年终净结余</t>
  </si>
  <si>
    <t xml:space="preserve">                     教育资金 </t>
  </si>
  <si>
    <t xml:space="preserve">                     农田水利建设资金</t>
  </si>
</sst>
</file>

<file path=xl/styles.xml><?xml version="1.0" encoding="utf-8"?>
<styleSheet xmlns="http://schemas.openxmlformats.org/spreadsheetml/2006/main">
  <numFmts count="4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%"/>
    <numFmt numFmtId="185" formatCode="0_ "/>
    <numFmt numFmtId="186" formatCode="#,##0_ "/>
    <numFmt numFmtId="187" formatCode="#,##0_);[Red]\(#,##0\)"/>
    <numFmt numFmtId="188" formatCode="_ * #,##0_ ;_ * \-#,##0_ ;_ * &quot;-&quot;??_ ;_ @_ "/>
    <numFmt numFmtId="189" formatCode="0.00_ "/>
    <numFmt numFmtId="190" formatCode="#,##0.00_ "/>
    <numFmt numFmtId="191" formatCode="#,##0.0000_ "/>
    <numFmt numFmtId="192" formatCode="#,##0_);\(#,##0\)"/>
    <numFmt numFmtId="193" formatCode="_(&quot;$&quot;* #,##0.00_);_(&quot;$&quot;* \(#,##0.00\);_(&quot;$&quot;* &quot;-&quot;??_);_(@_)"/>
    <numFmt numFmtId="194" formatCode="_(&quot;$&quot;* #,##0_);_(&quot;$&quot;* \(#,##0\);_(&quot;$&quot;* &quot;-&quot;_);_(@_)"/>
    <numFmt numFmtId="195" formatCode="0.000000"/>
    <numFmt numFmtId="196" formatCode="0.0000000"/>
    <numFmt numFmtId="197" formatCode="0.00000000"/>
    <numFmt numFmtId="198" formatCode="#,##0.00_ ;\-#,##0.00;;"/>
    <numFmt numFmtId="199" formatCode="0_);[Red]\(0\)"/>
    <numFmt numFmtId="200" formatCode="#,##0.000_ "/>
    <numFmt numFmtId="201" formatCode="_ &quot;￥&quot;* #,##0.00_ ;_ &quot;￥&quot;* \-#,##0.00_ ;_ &quot;￥&quot;* \-??_ ;_ @_ "/>
    <numFmt numFmtId="202" formatCode="_ &quot;￥&quot;* #,##0_ ;_ &quot;￥&quot;* \-#,##0_ ;_ &quot;￥&quot;* \-_ ;_ @_ 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#,##0.0"/>
    <numFmt numFmtId="208" formatCode="#,##0.0_ "/>
  </numFmts>
  <fonts count="64">
    <font>
      <sz val="12"/>
      <name val="宋体"/>
      <family val="0"/>
    </font>
    <font>
      <sz val="7"/>
      <name val="Small Fonts"/>
      <family val="2"/>
    </font>
    <font>
      <sz val="10"/>
      <name val="MS Sans Serif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2"/>
      <name val="黑体"/>
      <family val="0"/>
    </font>
    <font>
      <b/>
      <sz val="9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b/>
      <sz val="11"/>
      <name val="Times New Roman"/>
      <family val="1"/>
    </font>
    <font>
      <b/>
      <sz val="12"/>
      <name val="黑体"/>
      <family val="0"/>
    </font>
    <font>
      <sz val="11"/>
      <color indexed="8"/>
      <name val="宋体"/>
      <family val="0"/>
    </font>
    <font>
      <sz val="22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Times New Roman"/>
      <family val="1"/>
    </font>
    <font>
      <sz val="10.5"/>
      <name val="宋体"/>
      <family val="0"/>
    </font>
    <font>
      <sz val="10"/>
      <name val="Arial"/>
      <family val="2"/>
    </font>
    <font>
      <b/>
      <sz val="10"/>
      <name val="MS Sans Serif"/>
      <family val="2"/>
    </font>
    <font>
      <sz val="20"/>
      <name val="Letter Gothic (W1)"/>
      <family val="1"/>
    </font>
    <font>
      <sz val="8"/>
      <name val="Arial"/>
      <family val="2"/>
    </font>
    <font>
      <b/>
      <i/>
      <sz val="16"/>
      <name val="Helv"/>
      <family val="2"/>
    </font>
    <font>
      <u val="single"/>
      <sz val="12"/>
      <color indexed="20"/>
      <name val="宋体"/>
      <family val="0"/>
    </font>
    <font>
      <sz val="11"/>
      <name val="ＭＳ Ｐゴシック"/>
      <family val="3"/>
    </font>
    <font>
      <sz val="12"/>
      <name val="바탕체"/>
      <family val="3"/>
    </font>
    <font>
      <sz val="11"/>
      <name val="蹈框"/>
      <family val="0"/>
    </font>
    <font>
      <sz val="12"/>
      <name val="Courier"/>
      <family val="3"/>
    </font>
    <font>
      <sz val="12"/>
      <color indexed="8"/>
      <name val="宋体"/>
      <family val="0"/>
    </font>
    <font>
      <b/>
      <sz val="18"/>
      <name val="华文中宋"/>
      <family val="0"/>
    </font>
    <font>
      <sz val="10"/>
      <name val="黑体"/>
      <family val="0"/>
    </font>
    <font>
      <b/>
      <sz val="10"/>
      <name val="黑体"/>
      <family val="0"/>
    </font>
    <font>
      <b/>
      <sz val="12"/>
      <color indexed="8"/>
      <name val="黑体"/>
      <family val="0"/>
    </font>
    <font>
      <sz val="12"/>
      <color indexed="8"/>
      <name val="黑体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9"/>
      <name val="黑体"/>
      <family val="0"/>
    </font>
    <font>
      <sz val="24"/>
      <name val="黑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9"/>
      <name val="Times New Roman"/>
      <family val="1"/>
    </font>
    <font>
      <b/>
      <sz val="9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0" fillId="0" borderId="0">
      <alignment/>
      <protection/>
    </xf>
    <xf numFmtId="0" fontId="39" fillId="0" borderId="0">
      <alignment/>
      <protection/>
    </xf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38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94" fontId="41" fillId="0" borderId="0" applyFont="0" applyFill="0" applyBorder="0" applyAlignment="0" applyProtection="0"/>
    <xf numFmtId="193" fontId="41" fillId="0" borderId="0" applyFont="0" applyFill="0" applyBorder="0" applyAlignment="0" applyProtection="0"/>
    <xf numFmtId="38" fontId="42" fillId="16" borderId="0" applyNumberFormat="0" applyBorder="0" applyAlignment="0" applyProtection="0"/>
    <xf numFmtId="10" fontId="42" fillId="17" borderId="1" applyNumberFormat="0" applyBorder="0" applyAlignment="0" applyProtection="0"/>
    <xf numFmtId="37" fontId="1" fillId="0" borderId="0">
      <alignment/>
      <protection/>
    </xf>
    <xf numFmtId="0" fontId="43" fillId="0" borderId="0">
      <alignment/>
      <protection/>
    </xf>
    <xf numFmtId="0" fontId="37" fillId="0" borderId="0">
      <alignment/>
      <protection/>
    </xf>
    <xf numFmtId="10" fontId="3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44" fillId="0" borderId="0" applyNumberFormat="0" applyFill="0" applyBorder="0" applyAlignment="0" applyProtection="0"/>
    <xf numFmtId="0" fontId="21" fillId="0" borderId="5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9" fillId="16" borderId="6" applyNumberFormat="0" applyAlignment="0" applyProtection="0"/>
    <xf numFmtId="0" fontId="30" fillId="18" borderId="7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38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6" fillId="0" borderId="0">
      <alignment/>
      <protection/>
    </xf>
    <xf numFmtId="196" fontId="20" fillId="0" borderId="0" applyFont="0" applyFill="0" applyBorder="0" applyAlignment="0" applyProtection="0"/>
    <xf numFmtId="179" fontId="0" fillId="0" borderId="0" applyFont="0" applyFill="0" applyBorder="0" applyAlignment="0" applyProtection="0"/>
    <xf numFmtId="195" fontId="20" fillId="0" borderId="0" applyFont="0" applyFill="0" applyBorder="0" applyAlignment="0" applyProtection="0"/>
    <xf numFmtId="197" fontId="20" fillId="0" borderId="0" applyFont="0" applyFill="0" applyBorder="0" applyAlignment="0" applyProtection="0"/>
    <xf numFmtId="0" fontId="37" fillId="0" borderId="0">
      <alignment/>
      <protection/>
    </xf>
    <xf numFmtId="181" fontId="37" fillId="0" borderId="0" applyFont="0" applyFill="0" applyBorder="0" applyAlignment="0" applyProtection="0"/>
    <xf numFmtId="183" fontId="37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7" fillId="0" borderId="0">
      <alignment/>
      <protection/>
    </xf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34" fillId="23" borderId="0" applyNumberFormat="0" applyBorder="0" applyAlignment="0" applyProtection="0"/>
    <xf numFmtId="0" fontId="35" fillId="16" borderId="9" applyNumberFormat="0" applyAlignment="0" applyProtection="0"/>
    <xf numFmtId="0" fontId="36" fillId="7" borderId="6" applyNumberFormat="0" applyAlignment="0" applyProtection="0"/>
    <xf numFmtId="0" fontId="48" fillId="0" borderId="0">
      <alignment/>
      <protection/>
    </xf>
    <xf numFmtId="0" fontId="4" fillId="0" borderId="0" applyNumberFormat="0" applyFill="0" applyBorder="0" applyAlignment="0" applyProtection="0"/>
    <xf numFmtId="0" fontId="0" fillId="24" borderId="10" applyNumberFormat="0" applyFont="0" applyAlignment="0" applyProtection="0"/>
  </cellStyleXfs>
  <cellXfs count="325">
    <xf numFmtId="0" fontId="0" fillId="0" borderId="0" xfId="0" applyAlignment="1">
      <alignment/>
    </xf>
    <xf numFmtId="186" fontId="0" fillId="17" borderId="0" xfId="62" applyNumberFormat="1" applyFont="1" applyFill="1" applyAlignment="1">
      <alignment vertical="top"/>
      <protection/>
    </xf>
    <xf numFmtId="186" fontId="5" fillId="17" borderId="0" xfId="62" applyNumberFormat="1" applyFont="1" applyFill="1" applyAlignment="1">
      <alignment/>
      <protection/>
    </xf>
    <xf numFmtId="10" fontId="5" fillId="17" borderId="0" xfId="62" applyNumberFormat="1" applyFont="1" applyFill="1" applyAlignment="1">
      <alignment/>
      <protection/>
    </xf>
    <xf numFmtId="186" fontId="6" fillId="17" borderId="0" xfId="62" applyNumberFormat="1" applyFont="1" applyFill="1" applyAlignment="1">
      <alignment horizontal="center" vertical="center"/>
      <protection/>
    </xf>
    <xf numFmtId="10" fontId="5" fillId="17" borderId="0" xfId="62" applyNumberFormat="1" applyFont="1" applyFill="1" applyAlignment="1">
      <alignment horizontal="right" vertical="center"/>
      <protection/>
    </xf>
    <xf numFmtId="186" fontId="7" fillId="17" borderId="11" xfId="62" applyNumberFormat="1" applyFont="1" applyFill="1" applyBorder="1" applyAlignment="1">
      <alignment horizontal="center" vertical="center"/>
      <protection/>
    </xf>
    <xf numFmtId="186" fontId="7" fillId="17" borderId="1" xfId="62" applyNumberFormat="1" applyFont="1" applyFill="1" applyBorder="1" applyAlignment="1">
      <alignment horizontal="center" vertical="center" wrapText="1"/>
      <protection/>
    </xf>
    <xf numFmtId="186" fontId="8" fillId="17" borderId="1" xfId="61" applyNumberFormat="1" applyFont="1" applyFill="1" applyBorder="1" applyAlignment="1">
      <alignment/>
      <protection/>
    </xf>
    <xf numFmtId="184" fontId="7" fillId="17" borderId="1" xfId="62" applyNumberFormat="1" applyFont="1" applyFill="1" applyBorder="1" applyAlignment="1">
      <alignment horizontal="right" vertical="center" wrapText="1"/>
      <protection/>
    </xf>
    <xf numFmtId="184" fontId="7" fillId="17" borderId="1" xfId="62" applyNumberFormat="1" applyFont="1" applyFill="1" applyBorder="1" applyAlignment="1">
      <alignment/>
      <protection/>
    </xf>
    <xf numFmtId="186" fontId="7" fillId="17" borderId="1" xfId="61" applyNumberFormat="1" applyFont="1" applyFill="1" applyBorder="1" applyAlignment="1">
      <alignment wrapText="1"/>
      <protection/>
    </xf>
    <xf numFmtId="186" fontId="7" fillId="17" borderId="1" xfId="89" applyNumberFormat="1" applyFont="1" applyFill="1" applyBorder="1" applyAlignment="1">
      <alignment/>
    </xf>
    <xf numFmtId="184" fontId="7" fillId="17" borderId="1" xfId="89" applyNumberFormat="1" applyFont="1" applyFill="1" applyBorder="1" applyAlignment="1">
      <alignment/>
    </xf>
    <xf numFmtId="184" fontId="7" fillId="17" borderId="1" xfId="45" applyNumberFormat="1" applyFont="1" applyFill="1" applyBorder="1" applyAlignment="1">
      <alignment/>
    </xf>
    <xf numFmtId="186" fontId="7" fillId="17" borderId="1" xfId="62" applyNumberFormat="1" applyFont="1" applyFill="1" applyBorder="1" applyAlignment="1">
      <alignment wrapText="1"/>
      <protection/>
    </xf>
    <xf numFmtId="186" fontId="7" fillId="17" borderId="1" xfId="61" applyNumberFormat="1" applyFont="1" applyFill="1" applyBorder="1" applyAlignment="1">
      <alignment/>
      <protection/>
    </xf>
    <xf numFmtId="186" fontId="7" fillId="17" borderId="1" xfId="61" applyNumberFormat="1" applyFont="1" applyFill="1" applyBorder="1" applyAlignment="1">
      <alignment horizontal="left" vertical="center" indent="1"/>
      <protection/>
    </xf>
    <xf numFmtId="0" fontId="7" fillId="17" borderId="1" xfId="61" applyFont="1" applyFill="1" applyBorder="1" applyAlignment="1">
      <alignment vertical="center" wrapText="1"/>
      <protection/>
    </xf>
    <xf numFmtId="184" fontId="8" fillId="17" borderId="1" xfId="62" applyNumberFormat="1" applyFont="1" applyFill="1" applyBorder="1" applyAlignment="1">
      <alignment horizontal="right" vertical="center" wrapText="1"/>
      <protection/>
    </xf>
    <xf numFmtId="186" fontId="7" fillId="17" borderId="12" xfId="62" applyNumberFormat="1" applyFont="1" applyFill="1" applyBorder="1" applyAlignment="1">
      <alignment horizontal="right" vertical="center"/>
      <protection/>
    </xf>
    <xf numFmtId="184" fontId="7" fillId="17" borderId="1" xfId="89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186" fontId="9" fillId="0" borderId="0" xfId="0" applyNumberFormat="1" applyFont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vertical="center"/>
    </xf>
    <xf numFmtId="186" fontId="0" fillId="0" borderId="0" xfId="0" applyNumberFormat="1" applyFont="1" applyAlignment="1">
      <alignment/>
    </xf>
    <xf numFmtId="186" fontId="7" fillId="0" borderId="1" xfId="89" applyNumberFormat="1" applyFont="1" applyFill="1" applyBorder="1" applyAlignment="1">
      <alignment/>
    </xf>
    <xf numFmtId="186" fontId="7" fillId="0" borderId="1" xfId="61" applyNumberFormat="1" applyFont="1" applyFill="1" applyBorder="1" applyAlignment="1">
      <alignment wrapText="1"/>
      <protection/>
    </xf>
    <xf numFmtId="186" fontId="7" fillId="0" borderId="1" xfId="62" applyNumberFormat="1" applyFont="1" applyFill="1" applyBorder="1" applyAlignment="1">
      <alignment horizontal="center" vertical="center" wrapText="1"/>
      <protection/>
    </xf>
    <xf numFmtId="186" fontId="7" fillId="0" borderId="1" xfId="62" applyNumberFormat="1" applyFont="1" applyFill="1" applyBorder="1" applyAlignment="1">
      <alignment wrapText="1"/>
      <protection/>
    </xf>
    <xf numFmtId="186" fontId="7" fillId="0" borderId="1" xfId="62" applyNumberFormat="1" applyFont="1" applyFill="1" applyBorder="1" applyAlignment="1">
      <alignment horizontal="right"/>
      <protection/>
    </xf>
    <xf numFmtId="186" fontId="5" fillId="0" borderId="0" xfId="62" applyNumberFormat="1" applyFont="1" applyFill="1" applyAlignment="1">
      <alignment/>
      <protection/>
    </xf>
    <xf numFmtId="186" fontId="7" fillId="0" borderId="1" xfId="89" applyNumberFormat="1" applyFont="1" applyFill="1" applyBorder="1" applyAlignment="1">
      <alignment horizontal="right"/>
    </xf>
    <xf numFmtId="186" fontId="7" fillId="17" borderId="1" xfId="62" applyNumberFormat="1" applyFont="1" applyFill="1" applyBorder="1" applyAlignment="1">
      <alignment horizontal="left" vertical="center" wrapText="1"/>
      <protection/>
    </xf>
    <xf numFmtId="186" fontId="7" fillId="0" borderId="1" xfId="89" applyNumberFormat="1" applyFont="1" applyFill="1" applyBorder="1" applyAlignment="1">
      <alignment horizontal="left"/>
    </xf>
    <xf numFmtId="0" fontId="0" fillId="0" borderId="0" xfId="55" applyFont="1">
      <alignment vertical="center"/>
      <protection/>
    </xf>
    <xf numFmtId="0" fontId="20" fillId="0" borderId="0" xfId="57" applyFont="1">
      <alignment/>
      <protection/>
    </xf>
    <xf numFmtId="186" fontId="20" fillId="0" borderId="0" xfId="57" applyNumberFormat="1" applyFont="1">
      <alignment/>
      <protection/>
    </xf>
    <xf numFmtId="1" fontId="10" fillId="0" borderId="1" xfId="57" applyNumberFormat="1" applyFont="1" applyBorder="1" applyAlignment="1">
      <alignment horizontal="left" vertical="center"/>
      <protection/>
    </xf>
    <xf numFmtId="0" fontId="10" fillId="0" borderId="0" xfId="57" applyFont="1">
      <alignment/>
      <protection/>
    </xf>
    <xf numFmtId="1" fontId="20" fillId="0" borderId="1" xfId="57" applyNumberFormat="1" applyFont="1" applyBorder="1" applyAlignment="1">
      <alignment vertical="center"/>
      <protection/>
    </xf>
    <xf numFmtId="0" fontId="20" fillId="0" borderId="1" xfId="57" applyFont="1" applyBorder="1" applyAlignment="1">
      <alignment vertical="center"/>
      <protection/>
    </xf>
    <xf numFmtId="1" fontId="20" fillId="0" borderId="1" xfId="57" applyNumberFormat="1" applyFont="1" applyBorder="1" applyAlignment="1">
      <alignment horizontal="left" vertical="center"/>
      <protection/>
    </xf>
    <xf numFmtId="0" fontId="20" fillId="0" borderId="1" xfId="57" applyNumberFormat="1" applyFont="1" applyBorder="1" applyAlignment="1">
      <alignment horizontal="left" vertical="center"/>
      <protection/>
    </xf>
    <xf numFmtId="1" fontId="15" fillId="0" borderId="1" xfId="57" applyNumberFormat="1" applyFont="1" applyBorder="1" applyAlignment="1">
      <alignment horizontal="center" vertical="center"/>
      <protection/>
    </xf>
    <xf numFmtId="186" fontId="7" fillId="17" borderId="1" xfId="61" applyNumberFormat="1" applyFont="1" applyFill="1" applyBorder="1" applyAlignment="1">
      <alignment horizontal="left" vertical="center" wrapText="1"/>
      <protection/>
    </xf>
    <xf numFmtId="186" fontId="8" fillId="0" borderId="1" xfId="61" applyNumberFormat="1" applyFont="1" applyFill="1" applyBorder="1" applyAlignment="1">
      <alignment/>
      <protection/>
    </xf>
    <xf numFmtId="186" fontId="7" fillId="17" borderId="0" xfId="62" applyNumberFormat="1" applyFont="1" applyFill="1" applyBorder="1" applyAlignment="1">
      <alignment horizontal="left"/>
      <protection/>
    </xf>
    <xf numFmtId="191" fontId="6" fillId="17" borderId="0" xfId="62" applyNumberFormat="1" applyFont="1" applyFill="1" applyAlignment="1">
      <alignment horizontal="center" vertical="center"/>
      <protection/>
    </xf>
    <xf numFmtId="186" fontId="6" fillId="0" borderId="0" xfId="62" applyNumberFormat="1" applyFont="1" applyFill="1" applyAlignment="1">
      <alignment horizontal="center" vertical="center"/>
      <protection/>
    </xf>
    <xf numFmtId="186" fontId="8" fillId="17" borderId="1" xfId="61" applyNumberFormat="1" applyFont="1" applyFill="1" applyBorder="1" applyAlignment="1">
      <alignment wrapText="1"/>
      <protection/>
    </xf>
    <xf numFmtId="186" fontId="18" fillId="17" borderId="1" xfId="61" applyNumberFormat="1" applyFont="1" applyFill="1" applyBorder="1" applyAlignment="1">
      <alignment horizontal="center" wrapText="1"/>
      <protection/>
    </xf>
    <xf numFmtId="186" fontId="18" fillId="17" borderId="1" xfId="89" applyNumberFormat="1" applyFont="1" applyFill="1" applyBorder="1" applyAlignment="1">
      <alignment horizontal="right"/>
    </xf>
    <xf numFmtId="0" fontId="18" fillId="17" borderId="1" xfId="61" applyFont="1" applyFill="1" applyBorder="1" applyAlignment="1">
      <alignment horizontal="center" vertical="center"/>
      <protection/>
    </xf>
    <xf numFmtId="0" fontId="0" fillId="17" borderId="0" xfId="62" applyFont="1" applyFill="1">
      <alignment vertical="center"/>
      <protection/>
    </xf>
    <xf numFmtId="186" fontId="0" fillId="17" borderId="0" xfId="62" applyNumberFormat="1" applyFont="1" applyFill="1">
      <alignment vertical="center"/>
      <protection/>
    </xf>
    <xf numFmtId="186" fontId="18" fillId="17" borderId="1" xfId="61" applyNumberFormat="1" applyFont="1" applyFill="1" applyBorder="1" applyAlignment="1">
      <alignment horizontal="center"/>
      <protection/>
    </xf>
    <xf numFmtId="186" fontId="18" fillId="17" borderId="0" xfId="61" applyNumberFormat="1" applyFont="1" applyFill="1" applyBorder="1" applyAlignment="1">
      <alignment horizontal="center" wrapText="1"/>
      <protection/>
    </xf>
    <xf numFmtId="186" fontId="18" fillId="17" borderId="0" xfId="89" applyNumberFormat="1" applyFont="1" applyFill="1" applyBorder="1" applyAlignment="1">
      <alignment horizontal="right"/>
    </xf>
    <xf numFmtId="186" fontId="18" fillId="17" borderId="0" xfId="61" applyNumberFormat="1" applyFont="1" applyFill="1" applyBorder="1" applyAlignment="1">
      <alignment horizontal="center"/>
      <protection/>
    </xf>
    <xf numFmtId="186" fontId="18" fillId="17" borderId="0" xfId="62" applyNumberFormat="1" applyFont="1" applyFill="1" applyBorder="1" applyAlignment="1">
      <alignment/>
      <protection/>
    </xf>
    <xf numFmtId="192" fontId="0" fillId="0" borderId="0" xfId="62" applyNumberFormat="1" applyFont="1" applyFill="1">
      <alignment vertical="center"/>
      <protection/>
    </xf>
    <xf numFmtId="0" fontId="0" fillId="17" borderId="0" xfId="62" applyFont="1" applyFill="1" applyAlignment="1">
      <alignment/>
      <protection/>
    </xf>
    <xf numFmtId="186" fontId="0" fillId="0" borderId="0" xfId="62" applyNumberFormat="1" applyFont="1" applyFill="1">
      <alignment vertical="center"/>
      <protection/>
    </xf>
    <xf numFmtId="186" fontId="8" fillId="0" borderId="1" xfId="89" applyNumberFormat="1" applyFont="1" applyFill="1" applyBorder="1" applyAlignment="1">
      <alignment horizontal="right"/>
    </xf>
    <xf numFmtId="186" fontId="18" fillId="0" borderId="1" xfId="89" applyNumberFormat="1" applyFont="1" applyFill="1" applyBorder="1" applyAlignment="1">
      <alignment horizontal="right"/>
    </xf>
    <xf numFmtId="186" fontId="18" fillId="17" borderId="1" xfId="62" applyNumberFormat="1" applyFont="1" applyFill="1" applyBorder="1" applyAlignment="1">
      <alignment horizontal="right"/>
      <protection/>
    </xf>
    <xf numFmtId="186" fontId="0" fillId="0" borderId="1" xfId="62" applyNumberFormat="1" applyFont="1" applyFill="1" applyBorder="1">
      <alignment vertical="center"/>
      <protection/>
    </xf>
    <xf numFmtId="10" fontId="0" fillId="17" borderId="0" xfId="62" applyNumberFormat="1" applyFont="1" applyFill="1">
      <alignment vertical="center"/>
      <protection/>
    </xf>
    <xf numFmtId="184" fontId="0" fillId="17" borderId="0" xfId="62" applyNumberFormat="1" applyFont="1" applyFill="1">
      <alignment vertical="center"/>
      <protection/>
    </xf>
    <xf numFmtId="186" fontId="18" fillId="0" borderId="1" xfId="89" applyNumberFormat="1" applyFont="1" applyFill="1" applyBorder="1" applyAlignment="1">
      <alignment/>
    </xf>
    <xf numFmtId="0" fontId="0" fillId="0" borderId="0" xfId="62" applyFont="1" applyFill="1">
      <alignment vertical="center"/>
      <protection/>
    </xf>
    <xf numFmtId="187" fontId="0" fillId="17" borderId="0" xfId="62" applyNumberFormat="1" applyFont="1" applyFill="1">
      <alignment vertical="center"/>
      <protection/>
    </xf>
    <xf numFmtId="0" fontId="18" fillId="0" borderId="0" xfId="0" applyFont="1" applyAlignment="1">
      <alignment horizontal="center"/>
    </xf>
    <xf numFmtId="0" fontId="19" fillId="0" borderId="1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186" fontId="9" fillId="17" borderId="1" xfId="61" applyNumberFormat="1" applyFont="1" applyFill="1" applyBorder="1" applyAlignment="1">
      <alignment horizontal="center" vertical="center" wrapText="1"/>
      <protection/>
    </xf>
    <xf numFmtId="186" fontId="0" fillId="17" borderId="0" xfId="62" applyNumberFormat="1" applyFont="1" applyFill="1" applyBorder="1">
      <alignment vertical="center"/>
      <protection/>
    </xf>
    <xf numFmtId="190" fontId="0" fillId="17" borderId="0" xfId="62" applyNumberFormat="1" applyFont="1" applyFill="1">
      <alignment vertical="center"/>
      <protection/>
    </xf>
    <xf numFmtId="0" fontId="0" fillId="17" borderId="0" xfId="62" applyFont="1" applyFill="1" applyBorder="1">
      <alignment vertical="center"/>
      <protection/>
    </xf>
    <xf numFmtId="186" fontId="8" fillId="0" borderId="0" xfId="62" applyNumberFormat="1" applyFont="1" applyFill="1" applyBorder="1" applyAlignment="1">
      <alignment horizontal="right"/>
      <protection/>
    </xf>
    <xf numFmtId="186" fontId="18" fillId="17" borderId="1" xfId="61" applyNumberFormat="1" applyFont="1" applyFill="1" applyBorder="1" applyAlignment="1">
      <alignment/>
      <protection/>
    </xf>
    <xf numFmtId="184" fontId="18" fillId="0" borderId="1" xfId="89" applyNumberFormat="1" applyFont="1" applyFill="1" applyBorder="1" applyAlignment="1">
      <alignment/>
    </xf>
    <xf numFmtId="186" fontId="18" fillId="17" borderId="1" xfId="61" applyNumberFormat="1" applyFont="1" applyFill="1" applyBorder="1" applyAlignment="1">
      <alignment wrapText="1"/>
      <protection/>
    </xf>
    <xf numFmtId="184" fontId="18" fillId="0" borderId="1" xfId="89" applyNumberFormat="1" applyFont="1" applyFill="1" applyBorder="1" applyAlignment="1">
      <alignment horizontal="right"/>
    </xf>
    <xf numFmtId="186" fontId="7" fillId="0" borderId="1" xfId="89" applyNumberFormat="1" applyFont="1" applyFill="1" applyBorder="1" applyAlignment="1">
      <alignment vertical="center"/>
    </xf>
    <xf numFmtId="186" fontId="7" fillId="0" borderId="1" xfId="62" applyNumberFormat="1" applyFont="1" applyFill="1" applyBorder="1" applyAlignment="1">
      <alignment horizontal="right" vertical="center"/>
      <protection/>
    </xf>
    <xf numFmtId="184" fontId="7" fillId="17" borderId="1" xfId="62" applyNumberFormat="1" applyFont="1" applyFill="1" applyBorder="1" applyAlignment="1">
      <alignment horizontal="right" vertical="center"/>
      <protection/>
    </xf>
    <xf numFmtId="186" fontId="7" fillId="17" borderId="13" xfId="62" applyNumberFormat="1" applyFont="1" applyFill="1" applyBorder="1" applyAlignment="1">
      <alignment vertical="center"/>
      <protection/>
    </xf>
    <xf numFmtId="186" fontId="7" fillId="17" borderId="11" xfId="62" applyNumberFormat="1" applyFont="1" applyFill="1" applyBorder="1" applyAlignment="1">
      <alignment vertical="center"/>
      <protection/>
    </xf>
    <xf numFmtId="186" fontId="0" fillId="17" borderId="0" xfId="62" applyNumberFormat="1" applyFont="1" applyFill="1" applyAlignment="1">
      <alignment/>
      <protection/>
    </xf>
    <xf numFmtId="184" fontId="0" fillId="17" borderId="0" xfId="45" applyNumberFormat="1" applyFont="1" applyFill="1" applyBorder="1" applyAlignment="1">
      <alignment vertical="center"/>
    </xf>
    <xf numFmtId="184" fontId="0" fillId="0" borderId="0" xfId="45" applyNumberFormat="1" applyFont="1" applyAlignment="1">
      <alignment/>
    </xf>
    <xf numFmtId="186" fontId="9" fillId="17" borderId="14" xfId="61" applyNumberFormat="1" applyFont="1" applyFill="1" applyBorder="1" applyAlignment="1">
      <alignment horizontal="left" wrapText="1"/>
      <protection/>
    </xf>
    <xf numFmtId="186" fontId="9" fillId="17" borderId="0" xfId="61" applyNumberFormat="1" applyFont="1" applyFill="1" applyBorder="1" applyAlignment="1">
      <alignment horizontal="left" wrapText="1"/>
      <protection/>
    </xf>
    <xf numFmtId="10" fontId="0" fillId="17" borderId="0" xfId="45" applyNumberFormat="1" applyFont="1" applyFill="1" applyAlignment="1">
      <alignment vertical="center"/>
    </xf>
    <xf numFmtId="10" fontId="0" fillId="17" borderId="0" xfId="45" applyNumberFormat="1" applyFont="1" applyFill="1" applyBorder="1" applyAlignment="1">
      <alignment vertical="center"/>
    </xf>
    <xf numFmtId="184" fontId="0" fillId="17" borderId="0" xfId="45" applyNumberFormat="1" applyFont="1" applyFill="1" applyAlignment="1">
      <alignment vertical="center"/>
    </xf>
    <xf numFmtId="186" fontId="38" fillId="17" borderId="0" xfId="61" applyNumberFormat="1" applyFont="1" applyFill="1" applyBorder="1" applyAlignment="1">
      <alignment vertical="center" wrapText="1"/>
      <protection/>
    </xf>
    <xf numFmtId="186" fontId="38" fillId="17" borderId="14" xfId="61" applyNumberFormat="1" applyFont="1" applyFill="1" applyBorder="1" applyAlignment="1">
      <alignment vertical="center"/>
      <protection/>
    </xf>
    <xf numFmtId="186" fontId="38" fillId="17" borderId="0" xfId="61" applyNumberFormat="1" applyFont="1" applyFill="1" applyBorder="1" applyAlignment="1">
      <alignment vertical="center"/>
      <protection/>
    </xf>
    <xf numFmtId="186" fontId="9" fillId="17" borderId="0" xfId="61" applyNumberFormat="1" applyFont="1" applyFill="1" applyBorder="1" applyAlignment="1">
      <alignment vertical="center" wrapText="1"/>
      <protection/>
    </xf>
    <xf numFmtId="186" fontId="9" fillId="17" borderId="0" xfId="61" applyNumberFormat="1" applyFont="1" applyFill="1" applyBorder="1" applyAlignment="1">
      <alignment horizontal="left" vertical="center" wrapText="1"/>
      <protection/>
    </xf>
    <xf numFmtId="0" fontId="0" fillId="0" borderId="0" xfId="0" applyFont="1" applyBorder="1" applyAlignment="1">
      <alignment/>
    </xf>
    <xf numFmtId="186" fontId="0" fillId="0" borderId="0" xfId="0" applyNumberFormat="1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187" fontId="0" fillId="0" borderId="0" xfId="0" applyNumberFormat="1" applyFont="1" applyBorder="1" applyAlignment="1">
      <alignment/>
    </xf>
    <xf numFmtId="0" fontId="0" fillId="17" borderId="1" xfId="62" applyFont="1" applyFill="1" applyBorder="1">
      <alignment vertical="center"/>
      <protection/>
    </xf>
    <xf numFmtId="0" fontId="0" fillId="0" borderId="1" xfId="62" applyFont="1" applyFill="1" applyBorder="1">
      <alignment vertical="center"/>
      <protection/>
    </xf>
    <xf numFmtId="9" fontId="0" fillId="17" borderId="0" xfId="45" applyFont="1" applyFill="1" applyAlignment="1">
      <alignment vertical="center"/>
    </xf>
    <xf numFmtId="186" fontId="0" fillId="3" borderId="0" xfId="62" applyNumberFormat="1" applyFont="1" applyFill="1">
      <alignment vertical="center"/>
      <protection/>
    </xf>
    <xf numFmtId="0" fontId="0" fillId="17" borderId="0" xfId="62" applyFont="1" applyFill="1">
      <alignment vertical="center"/>
      <protection/>
    </xf>
    <xf numFmtId="186" fontId="0" fillId="17" borderId="0" xfId="62" applyNumberFormat="1" applyFont="1" applyFill="1">
      <alignment vertical="center"/>
      <protection/>
    </xf>
    <xf numFmtId="186" fontId="0" fillId="0" borderId="0" xfId="62" applyNumberFormat="1" applyFont="1" applyFill="1">
      <alignment vertical="center"/>
      <protection/>
    </xf>
    <xf numFmtId="184" fontId="7" fillId="17" borderId="15" xfId="62" applyNumberFormat="1" applyFont="1" applyFill="1" applyBorder="1">
      <alignment vertical="center"/>
      <protection/>
    </xf>
    <xf numFmtId="186" fontId="9" fillId="0" borderId="0" xfId="0" applyNumberFormat="1" applyFont="1" applyBorder="1" applyAlignment="1">
      <alignment vertical="center"/>
    </xf>
    <xf numFmtId="1" fontId="20" fillId="0" borderId="0" xfId="57" applyNumberFormat="1" applyFont="1">
      <alignment/>
      <protection/>
    </xf>
    <xf numFmtId="186" fontId="18" fillId="17" borderId="1" xfId="61" applyNumberFormat="1" applyFont="1" applyFill="1" applyBorder="1" applyAlignment="1">
      <alignment horizontal="left" wrapText="1"/>
      <protection/>
    </xf>
    <xf numFmtId="186" fontId="18" fillId="17" borderId="1" xfId="61" applyNumberFormat="1" applyFont="1" applyFill="1" applyBorder="1" applyAlignment="1">
      <alignment horizontal="left"/>
      <protection/>
    </xf>
    <xf numFmtId="0" fontId="18" fillId="17" borderId="1" xfId="61" applyFont="1" applyFill="1" applyBorder="1" applyAlignment="1">
      <alignment horizontal="left" vertical="center"/>
      <protection/>
    </xf>
    <xf numFmtId="186" fontId="7" fillId="17" borderId="1" xfId="61" applyNumberFormat="1" applyFont="1" applyFill="1" applyBorder="1" applyAlignment="1">
      <alignment vertical="center"/>
      <protection/>
    </xf>
    <xf numFmtId="186" fontId="7" fillId="17" borderId="1" xfId="62" applyNumberFormat="1" applyFont="1" applyFill="1" applyBorder="1" applyAlignment="1">
      <alignment horizontal="center" vertical="center"/>
      <protection/>
    </xf>
    <xf numFmtId="200" fontId="0" fillId="17" borderId="0" xfId="62" applyNumberFormat="1" applyFont="1" applyFill="1">
      <alignment vertical="center"/>
      <protection/>
    </xf>
    <xf numFmtId="186" fontId="8" fillId="0" borderId="1" xfId="61" applyNumberFormat="1" applyFont="1" applyFill="1" applyBorder="1" applyAlignment="1">
      <alignment wrapText="1"/>
      <protection/>
    </xf>
    <xf numFmtId="0" fontId="7" fillId="0" borderId="1" xfId="61" applyFont="1" applyFill="1" applyBorder="1" applyAlignment="1">
      <alignment vertical="center" wrapText="1"/>
      <protection/>
    </xf>
    <xf numFmtId="186" fontId="7" fillId="0" borderId="1" xfId="61" applyNumberFormat="1" applyFont="1" applyFill="1" applyBorder="1" applyAlignment="1">
      <alignment horizontal="left" vertical="center" indent="1"/>
      <protection/>
    </xf>
    <xf numFmtId="188" fontId="7" fillId="0" borderId="1" xfId="89" applyNumberFormat="1" applyFont="1" applyFill="1" applyBorder="1" applyAlignment="1">
      <alignment/>
    </xf>
    <xf numFmtId="187" fontId="7" fillId="0" borderId="1" xfId="89" applyNumberFormat="1" applyFont="1" applyFill="1" applyBorder="1" applyAlignment="1">
      <alignment/>
    </xf>
    <xf numFmtId="187" fontId="7" fillId="0" borderId="16" xfId="89" applyNumberFormat="1" applyFont="1" applyFill="1" applyBorder="1" applyAlignment="1">
      <alignment/>
    </xf>
    <xf numFmtId="0" fontId="0" fillId="0" borderId="0" xfId="57" applyFont="1">
      <alignment/>
      <protection/>
    </xf>
    <xf numFmtId="0" fontId="0" fillId="0" borderId="0" xfId="57" applyFont="1" applyAlignment="1">
      <alignment horizontal="right"/>
      <protection/>
    </xf>
    <xf numFmtId="186" fontId="53" fillId="0" borderId="1" xfId="57" applyNumberFormat="1" applyFont="1" applyBorder="1">
      <alignment/>
      <protection/>
    </xf>
    <xf numFmtId="184" fontId="53" fillId="0" borderId="1" xfId="57" applyNumberFormat="1" applyFont="1" applyBorder="1">
      <alignment/>
      <protection/>
    </xf>
    <xf numFmtId="0" fontId="54" fillId="0" borderId="1" xfId="57" applyFont="1" applyBorder="1" applyAlignment="1">
      <alignment horizontal="center"/>
      <protection/>
    </xf>
    <xf numFmtId="0" fontId="49" fillId="0" borderId="1" xfId="57" applyFont="1" applyBorder="1">
      <alignment/>
      <protection/>
    </xf>
    <xf numFmtId="186" fontId="54" fillId="0" borderId="1" xfId="57" applyNumberFormat="1" applyFont="1" applyBorder="1">
      <alignment/>
      <protection/>
    </xf>
    <xf numFmtId="184" fontId="54" fillId="0" borderId="1" xfId="57" applyNumberFormat="1" applyFont="1" applyBorder="1">
      <alignment/>
      <protection/>
    </xf>
    <xf numFmtId="1" fontId="0" fillId="0" borderId="1" xfId="57" applyNumberFormat="1" applyFont="1" applyBorder="1" applyAlignment="1">
      <alignment vertical="center"/>
      <protection/>
    </xf>
    <xf numFmtId="0" fontId="55" fillId="0" borderId="1" xfId="57" applyFont="1" applyBorder="1">
      <alignment/>
      <protection/>
    </xf>
    <xf numFmtId="187" fontId="55" fillId="0" borderId="1" xfId="57" applyNumberFormat="1" applyFont="1" applyBorder="1">
      <alignment/>
      <protection/>
    </xf>
    <xf numFmtId="186" fontId="54" fillId="0" borderId="1" xfId="57" applyNumberFormat="1" applyFont="1" applyFill="1" applyBorder="1">
      <alignment/>
      <protection/>
    </xf>
    <xf numFmtId="186" fontId="53" fillId="0" borderId="1" xfId="57" applyNumberFormat="1" applyFont="1" applyFill="1" applyBorder="1">
      <alignment/>
      <protection/>
    </xf>
    <xf numFmtId="186" fontId="54" fillId="0" borderId="1" xfId="57" applyNumberFormat="1" applyFont="1" applyFill="1" applyBorder="1" applyAlignment="1">
      <alignment horizontal="right"/>
      <protection/>
    </xf>
    <xf numFmtId="0" fontId="56" fillId="0" borderId="1" xfId="57" applyFont="1" applyBorder="1">
      <alignment/>
      <protection/>
    </xf>
    <xf numFmtId="1" fontId="49" fillId="0" borderId="0" xfId="57" applyNumberFormat="1" applyFont="1" applyBorder="1" applyAlignment="1">
      <alignment horizontal="left" wrapText="1"/>
      <protection/>
    </xf>
    <xf numFmtId="0" fontId="55" fillId="0" borderId="0" xfId="57" applyFont="1">
      <alignment/>
      <protection/>
    </xf>
    <xf numFmtId="186" fontId="55" fillId="0" borderId="0" xfId="57" applyNumberFormat="1" applyFont="1">
      <alignment/>
      <protection/>
    </xf>
    <xf numFmtId="186" fontId="8" fillId="17" borderId="1" xfId="89" applyNumberFormat="1" applyFont="1" applyFill="1" applyBorder="1" applyAlignment="1">
      <alignment horizontal="right"/>
    </xf>
    <xf numFmtId="184" fontId="8" fillId="17" borderId="1" xfId="89" applyNumberFormat="1" applyFont="1" applyFill="1" applyBorder="1" applyAlignment="1">
      <alignment horizontal="right"/>
    </xf>
    <xf numFmtId="186" fontId="7" fillId="0" borderId="1" xfId="62" applyNumberFormat="1" applyFont="1" applyFill="1" applyBorder="1" applyAlignment="1">
      <alignment horizontal="right" vertical="center" wrapText="1"/>
      <protection/>
    </xf>
    <xf numFmtId="184" fontId="7" fillId="0" borderId="1" xfId="89" applyNumberFormat="1" applyFont="1" applyFill="1" applyBorder="1" applyAlignment="1">
      <alignment horizontal="right"/>
    </xf>
    <xf numFmtId="184" fontId="7" fillId="0" borderId="1" xfId="62" applyNumberFormat="1" applyFont="1" applyFill="1" applyBorder="1" applyAlignment="1">
      <alignment horizontal="right" vertical="center" wrapText="1"/>
      <protection/>
    </xf>
    <xf numFmtId="184" fontId="18" fillId="17" borderId="1" xfId="89" applyNumberFormat="1" applyFont="1" applyFill="1" applyBorder="1" applyAlignment="1">
      <alignment horizontal="right"/>
    </xf>
    <xf numFmtId="184" fontId="18" fillId="17" borderId="1" xfId="62" applyNumberFormat="1" applyFont="1" applyFill="1" applyBorder="1" applyAlignment="1">
      <alignment horizontal="right" vertical="center" wrapText="1"/>
      <protection/>
    </xf>
    <xf numFmtId="184" fontId="9" fillId="17" borderId="1" xfId="62" applyNumberFormat="1" applyFont="1" applyFill="1" applyBorder="1" applyAlignment="1">
      <alignment horizontal="right" vertical="center" wrapText="1"/>
      <protection/>
    </xf>
    <xf numFmtId="186" fontId="7" fillId="17" borderId="1" xfId="62" applyNumberFormat="1" applyFont="1" applyFill="1" applyBorder="1" applyAlignment="1">
      <alignment horizontal="right"/>
      <protection/>
    </xf>
    <xf numFmtId="186" fontId="0" fillId="17" borderId="1" xfId="62" applyNumberFormat="1" applyFont="1" applyFill="1" applyBorder="1">
      <alignment vertical="center"/>
      <protection/>
    </xf>
    <xf numFmtId="186" fontId="7" fillId="0" borderId="0" xfId="89" applyNumberFormat="1" applyFont="1" applyFill="1" applyBorder="1" applyAlignment="1">
      <alignment/>
    </xf>
    <xf numFmtId="186" fontId="7" fillId="17" borderId="1" xfId="62" applyNumberFormat="1" applyFont="1" applyFill="1" applyBorder="1" applyAlignment="1">
      <alignment horizontal="right" vertical="center" wrapText="1"/>
      <protection/>
    </xf>
    <xf numFmtId="184" fontId="8" fillId="0" borderId="1" xfId="89" applyNumberFormat="1" applyFont="1" applyFill="1" applyBorder="1" applyAlignment="1">
      <alignment horizontal="right"/>
    </xf>
    <xf numFmtId="184" fontId="18" fillId="0" borderId="1" xfId="62" applyNumberFormat="1" applyFont="1" applyFill="1" applyBorder="1" applyAlignment="1">
      <alignment horizontal="right" vertical="center" wrapText="1"/>
      <protection/>
    </xf>
    <xf numFmtId="186" fontId="7" fillId="17" borderId="1" xfId="89" applyNumberFormat="1" applyFont="1" applyFill="1" applyBorder="1" applyAlignment="1">
      <alignment horizontal="right"/>
    </xf>
    <xf numFmtId="184" fontId="0" fillId="0" borderId="1" xfId="62" applyNumberFormat="1" applyFont="1" applyFill="1" applyBorder="1">
      <alignment vertical="center"/>
      <protection/>
    </xf>
    <xf numFmtId="186" fontId="18" fillId="0" borderId="1" xfId="62" applyNumberFormat="1" applyFont="1" applyFill="1" applyBorder="1" applyAlignment="1">
      <alignment horizontal="right"/>
      <protection/>
    </xf>
    <xf numFmtId="186" fontId="19" fillId="0" borderId="1" xfId="0" applyNumberFormat="1" applyFont="1" applyBorder="1" applyAlignment="1">
      <alignment horizontal="right" vertical="center"/>
    </xf>
    <xf numFmtId="184" fontId="19" fillId="0" borderId="1" xfId="0" applyNumberFormat="1" applyFont="1" applyBorder="1" applyAlignment="1">
      <alignment horizontal="right" vertical="center"/>
    </xf>
    <xf numFmtId="9" fontId="19" fillId="0" borderId="1" xfId="0" applyNumberFormat="1" applyFont="1" applyBorder="1" applyAlignment="1">
      <alignment horizontal="right" vertical="center"/>
    </xf>
    <xf numFmtId="186" fontId="9" fillId="0" borderId="1" xfId="0" applyNumberFormat="1" applyFont="1" applyBorder="1" applyAlignment="1">
      <alignment vertical="center"/>
    </xf>
    <xf numFmtId="184" fontId="0" fillId="0" borderId="1" xfId="0" applyNumberFormat="1" applyFont="1" applyBorder="1" applyAlignment="1">
      <alignment horizontal="right" vertical="center"/>
    </xf>
    <xf numFmtId="184" fontId="9" fillId="0" borderId="1" xfId="0" applyNumberFormat="1" applyFont="1" applyBorder="1" applyAlignment="1">
      <alignment horizontal="right" vertical="center"/>
    </xf>
    <xf numFmtId="186" fontId="0" fillId="0" borderId="1" xfId="0" applyNumberFormat="1" applyFont="1" applyBorder="1" applyAlignment="1">
      <alignment horizontal="right" vertical="center"/>
    </xf>
    <xf numFmtId="188" fontId="9" fillId="17" borderId="1" xfId="89" applyNumberFormat="1" applyFont="1" applyFill="1" applyBorder="1" applyAlignment="1">
      <alignment vertical="center"/>
    </xf>
    <xf numFmtId="188" fontId="9" fillId="0" borderId="1" xfId="89" applyNumberFormat="1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187" fontId="8" fillId="17" borderId="15" xfId="62" applyNumberFormat="1" applyFont="1" applyFill="1" applyBorder="1">
      <alignment vertical="center"/>
      <protection/>
    </xf>
    <xf numFmtId="184" fontId="8" fillId="17" borderId="15" xfId="62" applyNumberFormat="1" applyFont="1" applyFill="1" applyBorder="1">
      <alignment vertical="center"/>
      <protection/>
    </xf>
    <xf numFmtId="184" fontId="8" fillId="17" borderId="15" xfId="45" applyNumberFormat="1" applyFont="1" applyFill="1" applyBorder="1" applyAlignment="1">
      <alignment/>
    </xf>
    <xf numFmtId="186" fontId="7" fillId="0" borderId="1" xfId="61" applyNumberFormat="1" applyFont="1" applyFill="1" applyBorder="1" applyAlignment="1">
      <alignment/>
      <protection/>
    </xf>
    <xf numFmtId="184" fontId="7" fillId="17" borderId="15" xfId="45" applyNumberFormat="1" applyFont="1" applyFill="1" applyBorder="1" applyAlignment="1">
      <alignment/>
    </xf>
    <xf numFmtId="186" fontId="8" fillId="17" borderId="1" xfId="89" applyNumberFormat="1" applyFont="1" applyFill="1" applyBorder="1" applyAlignment="1">
      <alignment/>
    </xf>
    <xf numFmtId="184" fontId="8" fillId="17" borderId="1" xfId="45" applyNumberFormat="1" applyFont="1" applyFill="1" applyBorder="1" applyAlignment="1">
      <alignment/>
    </xf>
    <xf numFmtId="184" fontId="18" fillId="17" borderId="1" xfId="89" applyNumberFormat="1" applyFont="1" applyFill="1" applyBorder="1" applyAlignment="1">
      <alignment/>
    </xf>
    <xf numFmtId="184" fontId="18" fillId="17" borderId="1" xfId="45" applyNumberFormat="1" applyFont="1" applyFill="1" applyBorder="1" applyAlignment="1">
      <alignment/>
    </xf>
    <xf numFmtId="10" fontId="0" fillId="17" borderId="1" xfId="62" applyNumberFormat="1" applyFont="1" applyFill="1" applyBorder="1">
      <alignment vertical="center"/>
      <protection/>
    </xf>
    <xf numFmtId="184" fontId="18" fillId="17" borderId="1" xfId="62" applyNumberFormat="1" applyFont="1" applyFill="1" applyBorder="1" applyAlignment="1">
      <alignment/>
      <protection/>
    </xf>
    <xf numFmtId="10" fontId="7" fillId="17" borderId="1" xfId="62" applyNumberFormat="1" applyFont="1" applyFill="1" applyBorder="1" applyAlignment="1">
      <alignment horizontal="right" vertical="center" wrapText="1"/>
      <protection/>
    </xf>
    <xf numFmtId="10" fontId="7" fillId="17" borderId="1" xfId="62" applyNumberFormat="1" applyFont="1" applyFill="1" applyBorder="1" applyAlignment="1">
      <alignment/>
      <protection/>
    </xf>
    <xf numFmtId="0" fontId="5" fillId="0" borderId="0" xfId="60" applyFont="1">
      <alignment vertical="center"/>
      <protection/>
    </xf>
    <xf numFmtId="186" fontId="5" fillId="0" borderId="0" xfId="60" applyNumberFormat="1" applyFont="1">
      <alignment vertical="center"/>
      <protection/>
    </xf>
    <xf numFmtId="10" fontId="5" fillId="0" borderId="0" xfId="60" applyNumberFormat="1" applyFont="1">
      <alignment vertical="center"/>
      <protection/>
    </xf>
    <xf numFmtId="10" fontId="5" fillId="0" borderId="0" xfId="60" applyNumberFormat="1" applyFont="1" applyAlignment="1">
      <alignment horizontal="right" vertical="center"/>
      <protection/>
    </xf>
    <xf numFmtId="0" fontId="59" fillId="0" borderId="0" xfId="60" applyFont="1" applyAlignment="1">
      <alignment horizontal="center" vertical="center"/>
      <protection/>
    </xf>
    <xf numFmtId="0" fontId="11" fillId="0" borderId="1" xfId="60" applyFont="1" applyBorder="1" applyAlignment="1">
      <alignment horizontal="center" vertical="center" wrapText="1"/>
      <protection/>
    </xf>
    <xf numFmtId="186" fontId="11" fillId="0" borderId="1" xfId="60" applyNumberFormat="1" applyFont="1" applyBorder="1" applyAlignment="1">
      <alignment horizontal="center" vertical="center" wrapText="1"/>
      <protection/>
    </xf>
    <xf numFmtId="10" fontId="11" fillId="0" borderId="1" xfId="60" applyNumberFormat="1" applyFont="1" applyBorder="1" applyAlignment="1">
      <alignment horizontal="center" vertical="center" wrapText="1"/>
      <protection/>
    </xf>
    <xf numFmtId="0" fontId="60" fillId="0" borderId="1" xfId="60" applyFont="1" applyBorder="1" applyAlignment="1">
      <alignment horizontal="justify" vertical="center" wrapText="1"/>
      <protection/>
    </xf>
    <xf numFmtId="186" fontId="61" fillId="0" borderId="1" xfId="60" applyNumberFormat="1" applyFont="1" applyBorder="1" applyAlignment="1">
      <alignment vertical="center" wrapText="1"/>
      <protection/>
    </xf>
    <xf numFmtId="10" fontId="5" fillId="0" borderId="1" xfId="60" applyNumberFormat="1" applyFont="1" applyBorder="1">
      <alignment vertical="center"/>
      <protection/>
    </xf>
    <xf numFmtId="10" fontId="61" fillId="0" borderId="1" xfId="60" applyNumberFormat="1" applyFont="1" applyBorder="1" applyAlignment="1">
      <alignment vertical="center" wrapText="1"/>
      <protection/>
    </xf>
    <xf numFmtId="10" fontId="5" fillId="0" borderId="1" xfId="60" applyNumberFormat="1" applyFont="1" applyBorder="1" applyAlignment="1">
      <alignment horizontal="right" vertical="center" wrapText="1"/>
      <protection/>
    </xf>
    <xf numFmtId="10" fontId="61" fillId="0" borderId="1" xfId="60" applyNumberFormat="1" applyFont="1" applyBorder="1" applyAlignment="1">
      <alignment horizontal="right" vertical="center" wrapText="1"/>
      <protection/>
    </xf>
    <xf numFmtId="0" fontId="11" fillId="0" borderId="1" xfId="60" applyFont="1" applyBorder="1" applyAlignment="1">
      <alignment horizontal="justify" vertical="center" wrapText="1"/>
      <protection/>
    </xf>
    <xf numFmtId="0" fontId="63" fillId="0" borderId="1" xfId="60" applyFont="1" applyBorder="1" applyAlignment="1">
      <alignment horizontal="justify" vertical="center" wrapText="1"/>
      <protection/>
    </xf>
    <xf numFmtId="0" fontId="60" fillId="0" borderId="1" xfId="60" applyFont="1" applyBorder="1" applyAlignment="1">
      <alignment horizontal="center" vertical="center" wrapText="1"/>
      <protection/>
    </xf>
    <xf numFmtId="0" fontId="0" fillId="0" borderId="0" xfId="60" applyFont="1">
      <alignment vertical="center"/>
      <protection/>
    </xf>
    <xf numFmtId="0" fontId="0" fillId="0" borderId="0" xfId="59" applyFont="1" applyFill="1">
      <alignment/>
      <protection/>
    </xf>
    <xf numFmtId="0" fontId="0" fillId="0" borderId="0" xfId="59" applyFill="1">
      <alignment/>
      <protection/>
    </xf>
    <xf numFmtId="187" fontId="0" fillId="0" borderId="0" xfId="59" applyNumberFormat="1" applyFill="1">
      <alignment/>
      <protection/>
    </xf>
    <xf numFmtId="0" fontId="9" fillId="0" borderId="0" xfId="58" applyFont="1" applyFill="1" applyBorder="1" applyAlignment="1">
      <alignment horizontal="left" vertical="center"/>
      <protection/>
    </xf>
    <xf numFmtId="0" fontId="0" fillId="0" borderId="0" xfId="59" applyFill="1" applyAlignment="1">
      <alignment horizontal="right"/>
      <protection/>
    </xf>
    <xf numFmtId="0" fontId="7" fillId="0" borderId="1" xfId="59" applyFont="1" applyFill="1" applyBorder="1" applyAlignment="1">
      <alignment horizontal="center" vertical="center"/>
      <protection/>
    </xf>
    <xf numFmtId="0" fontId="7" fillId="0" borderId="1" xfId="59" applyFont="1" applyFill="1" applyBorder="1" applyAlignment="1">
      <alignment horizontal="center" vertical="center" wrapText="1"/>
      <protection/>
    </xf>
    <xf numFmtId="187" fontId="7" fillId="0" borderId="1" xfId="59" applyNumberFormat="1" applyFont="1" applyFill="1" applyBorder="1" applyAlignment="1">
      <alignment horizontal="center" vertical="center"/>
      <protection/>
    </xf>
    <xf numFmtId="0" fontId="7" fillId="0" borderId="17" xfId="59" applyFont="1" applyFill="1" applyBorder="1" applyAlignment="1">
      <alignment horizontal="center" vertical="center" wrapText="1"/>
      <protection/>
    </xf>
    <xf numFmtId="3" fontId="7" fillId="0" borderId="18" xfId="59" applyNumberFormat="1" applyFont="1" applyFill="1" applyBorder="1" applyAlignment="1" applyProtection="1">
      <alignment vertical="center"/>
      <protection/>
    </xf>
    <xf numFmtId="3" fontId="7" fillId="0" borderId="1" xfId="59" applyNumberFormat="1" applyFont="1" applyFill="1" applyBorder="1" applyAlignment="1" applyProtection="1">
      <alignment vertical="center"/>
      <protection/>
    </xf>
    <xf numFmtId="0" fontId="7" fillId="0" borderId="1" xfId="59" applyFont="1" applyFill="1" applyBorder="1">
      <alignment/>
      <protection/>
    </xf>
    <xf numFmtId="184" fontId="7" fillId="0" borderId="1" xfId="59" applyNumberFormat="1" applyFont="1" applyFill="1" applyBorder="1">
      <alignment/>
      <protection/>
    </xf>
    <xf numFmtId="187" fontId="7" fillId="0" borderId="1" xfId="59" applyNumberFormat="1" applyFont="1" applyFill="1" applyBorder="1">
      <alignment/>
      <protection/>
    </xf>
    <xf numFmtId="188" fontId="8" fillId="0" borderId="1" xfId="59" applyNumberFormat="1" applyFont="1" applyFill="1" applyBorder="1">
      <alignment/>
      <protection/>
    </xf>
    <xf numFmtId="0" fontId="7" fillId="0" borderId="17" xfId="59" applyFont="1" applyFill="1" applyBorder="1">
      <alignment/>
      <protection/>
    </xf>
    <xf numFmtId="184" fontId="8" fillId="0" borderId="1" xfId="59" applyNumberFormat="1" applyFont="1" applyFill="1" applyBorder="1">
      <alignment/>
      <protection/>
    </xf>
    <xf numFmtId="187" fontId="8" fillId="0" borderId="1" xfId="59" applyNumberFormat="1" applyFont="1" applyFill="1" applyBorder="1">
      <alignment/>
      <protection/>
    </xf>
    <xf numFmtId="184" fontId="8" fillId="0" borderId="17" xfId="59" applyNumberFormat="1" applyFont="1" applyFill="1" applyBorder="1">
      <alignment/>
      <protection/>
    </xf>
    <xf numFmtId="184" fontId="7" fillId="0" borderId="17" xfId="59" applyNumberFormat="1" applyFont="1" applyFill="1" applyBorder="1">
      <alignment/>
      <protection/>
    </xf>
    <xf numFmtId="1" fontId="37" fillId="0" borderId="1" xfId="56" applyNumberFormat="1" applyFont="1" applyFill="1" applyBorder="1" applyAlignment="1">
      <alignment horizontal="left" vertical="center"/>
      <protection/>
    </xf>
    <xf numFmtId="187" fontId="7" fillId="0" borderId="1" xfId="56" applyNumberFormat="1" applyFont="1" applyFill="1" applyBorder="1" applyAlignment="1">
      <alignment horizontal="right" vertical="center"/>
      <protection/>
    </xf>
    <xf numFmtId="0" fontId="0" fillId="0" borderId="1" xfId="59" applyFill="1" applyBorder="1">
      <alignment/>
      <protection/>
    </xf>
    <xf numFmtId="187" fontId="0" fillId="0" borderId="1" xfId="59" applyNumberFormat="1" applyFill="1" applyBorder="1">
      <alignment/>
      <protection/>
    </xf>
    <xf numFmtId="1" fontId="7" fillId="0" borderId="1" xfId="56" applyNumberFormat="1" applyFont="1" applyFill="1" applyBorder="1" applyAlignment="1">
      <alignment horizontal="left" vertical="center"/>
      <protection/>
    </xf>
    <xf numFmtId="0" fontId="19" fillId="0" borderId="0" xfId="59" applyFont="1" applyFill="1">
      <alignment/>
      <protection/>
    </xf>
    <xf numFmtId="0" fontId="7" fillId="0" borderId="18" xfId="59" applyFont="1" applyFill="1" applyBorder="1">
      <alignment/>
      <protection/>
    </xf>
    <xf numFmtId="0" fontId="8" fillId="0" borderId="18" xfId="56" applyFont="1" applyFill="1" applyBorder="1" applyAlignment="1" applyProtection="1">
      <alignment horizontal="center"/>
      <protection locked="0"/>
    </xf>
    <xf numFmtId="3" fontId="52" fillId="0" borderId="1" xfId="59" applyNumberFormat="1" applyFont="1" applyFill="1" applyBorder="1" applyAlignment="1">
      <alignment horizontal="center"/>
      <protection/>
    </xf>
    <xf numFmtId="0" fontId="8" fillId="0" borderId="1" xfId="56" applyFont="1" applyFill="1" applyBorder="1" applyAlignment="1" applyProtection="1">
      <alignment horizontal="center"/>
      <protection locked="0"/>
    </xf>
    <xf numFmtId="3" fontId="52" fillId="0" borderId="1" xfId="56" applyNumberFormat="1" applyFont="1" applyFill="1" applyBorder="1" applyAlignment="1" applyProtection="1">
      <alignment horizontal="center"/>
      <protection locked="0"/>
    </xf>
    <xf numFmtId="0" fontId="8" fillId="0" borderId="18" xfId="59" applyFont="1" applyFill="1" applyBorder="1" applyAlignment="1">
      <alignment horizontal="left"/>
      <protection/>
    </xf>
    <xf numFmtId="186" fontId="7" fillId="0" borderId="1" xfId="59" applyNumberFormat="1" applyFont="1" applyFill="1" applyBorder="1">
      <alignment/>
      <protection/>
    </xf>
    <xf numFmtId="0" fontId="8" fillId="0" borderId="1" xfId="59" applyFont="1" applyFill="1" applyBorder="1" applyAlignment="1">
      <alignment horizontal="left"/>
      <protection/>
    </xf>
    <xf numFmtId="0" fontId="0" fillId="0" borderId="18" xfId="59" applyFill="1" applyBorder="1">
      <alignment/>
      <protection/>
    </xf>
    <xf numFmtId="0" fontId="52" fillId="0" borderId="18" xfId="59" applyFont="1" applyFill="1" applyBorder="1" applyAlignment="1">
      <alignment horizontal="center"/>
      <protection/>
    </xf>
    <xf numFmtId="0" fontId="7" fillId="0" borderId="16" xfId="59" applyFont="1" applyFill="1" applyBorder="1">
      <alignment/>
      <protection/>
    </xf>
    <xf numFmtId="184" fontId="7" fillId="0" borderId="16" xfId="59" applyNumberFormat="1" applyFont="1" applyFill="1" applyBorder="1">
      <alignment/>
      <protection/>
    </xf>
    <xf numFmtId="187" fontId="7" fillId="0" borderId="16" xfId="59" applyNumberFormat="1" applyFont="1" applyFill="1" applyBorder="1">
      <alignment/>
      <protection/>
    </xf>
    <xf numFmtId="184" fontId="7" fillId="0" borderId="19" xfId="59" applyNumberFormat="1" applyFont="1" applyFill="1" applyBorder="1">
      <alignment/>
      <protection/>
    </xf>
    <xf numFmtId="0" fontId="15" fillId="0" borderId="0" xfId="59" applyFont="1" applyFill="1" applyBorder="1" applyAlignment="1">
      <alignment horizontal="center"/>
      <protection/>
    </xf>
    <xf numFmtId="3" fontId="15" fillId="0" borderId="0" xfId="59" applyNumberFormat="1" applyFont="1" applyFill="1" applyBorder="1" applyAlignment="1">
      <alignment horizontal="center"/>
      <protection/>
    </xf>
    <xf numFmtId="184" fontId="19" fillId="0" borderId="0" xfId="59" applyNumberFormat="1" applyFont="1" applyFill="1" applyBorder="1">
      <alignment/>
      <protection/>
    </xf>
    <xf numFmtId="3" fontId="0" fillId="0" borderId="0" xfId="59" applyNumberFormat="1" applyFill="1">
      <alignment/>
      <protection/>
    </xf>
    <xf numFmtId="185" fontId="7" fillId="0" borderId="1" xfId="59" applyNumberFormat="1" applyFont="1" applyFill="1" applyBorder="1" applyAlignment="1">
      <alignment horizontal="center"/>
      <protection/>
    </xf>
    <xf numFmtId="0" fontId="7" fillId="0" borderId="18" xfId="59" applyFont="1" applyFill="1" applyBorder="1" applyAlignment="1">
      <alignment horizontal="left"/>
      <protection/>
    </xf>
    <xf numFmtId="187" fontId="7" fillId="0" borderId="1" xfId="59" applyNumberFormat="1" applyFont="1" applyFill="1" applyBorder="1" applyAlignment="1" applyProtection="1">
      <alignment horizontal="right" vertical="center"/>
      <protection/>
    </xf>
    <xf numFmtId="187" fontId="7" fillId="0" borderId="1" xfId="89" applyNumberFormat="1" applyFont="1" applyFill="1" applyBorder="1" applyAlignment="1" applyProtection="1">
      <alignment horizontal="right" vertical="center"/>
      <protection/>
    </xf>
    <xf numFmtId="188" fontId="7" fillId="0" borderId="1" xfId="59" applyNumberFormat="1" applyFont="1" applyFill="1" applyBorder="1">
      <alignment/>
      <protection/>
    </xf>
    <xf numFmtId="188" fontId="7" fillId="0" borderId="1" xfId="89" applyNumberFormat="1" applyFont="1" applyFill="1" applyBorder="1" applyAlignment="1" applyProtection="1">
      <alignment horizontal="right" vertical="center"/>
      <protection/>
    </xf>
    <xf numFmtId="0" fontId="15" fillId="0" borderId="18" xfId="59" applyFont="1" applyFill="1" applyBorder="1" applyAlignment="1">
      <alignment horizontal="center"/>
      <protection/>
    </xf>
    <xf numFmtId="3" fontId="15" fillId="0" borderId="1" xfId="59" applyNumberFormat="1" applyFont="1" applyFill="1" applyBorder="1" applyAlignment="1">
      <alignment horizontal="center"/>
      <protection/>
    </xf>
    <xf numFmtId="184" fontId="19" fillId="0" borderId="1" xfId="59" applyNumberFormat="1" applyFont="1" applyFill="1" applyBorder="1">
      <alignment/>
      <protection/>
    </xf>
    <xf numFmtId="187" fontId="19" fillId="0" borderId="1" xfId="59" applyNumberFormat="1" applyFont="1" applyFill="1" applyBorder="1">
      <alignment/>
      <protection/>
    </xf>
    <xf numFmtId="0" fontId="0" fillId="0" borderId="20" xfId="59" applyFill="1" applyBorder="1">
      <alignment/>
      <protection/>
    </xf>
    <xf numFmtId="0" fontId="0" fillId="0" borderId="16" xfId="59" applyFill="1" applyBorder="1">
      <alignment/>
      <protection/>
    </xf>
    <xf numFmtId="187" fontId="0" fillId="0" borderId="16" xfId="59" applyNumberFormat="1" applyFill="1" applyBorder="1">
      <alignment/>
      <protection/>
    </xf>
    <xf numFmtId="0" fontId="6" fillId="0" borderId="0" xfId="0" applyFont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186" fontId="7" fillId="17" borderId="14" xfId="61" applyNumberFormat="1" applyFont="1" applyFill="1" applyBorder="1" applyAlignment="1">
      <alignment horizontal="left" vertical="center" wrapText="1"/>
      <protection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186" fontId="7" fillId="17" borderId="1" xfId="62" applyNumberFormat="1" applyFont="1" applyFill="1" applyBorder="1" applyAlignment="1">
      <alignment horizontal="center" vertical="center" wrapText="1"/>
      <protection/>
    </xf>
    <xf numFmtId="186" fontId="7" fillId="17" borderId="1" xfId="61" applyNumberFormat="1" applyFont="1" applyFill="1" applyBorder="1" applyAlignment="1">
      <alignment horizontal="center" vertical="center" wrapText="1"/>
      <protection/>
    </xf>
    <xf numFmtId="186" fontId="6" fillId="17" borderId="0" xfId="62" applyNumberFormat="1" applyFont="1" applyFill="1" applyAlignment="1">
      <alignment horizontal="center" vertical="center"/>
      <protection/>
    </xf>
    <xf numFmtId="186" fontId="7" fillId="17" borderId="13" xfId="62" applyNumberFormat="1" applyFont="1" applyFill="1" applyBorder="1" applyAlignment="1">
      <alignment horizontal="center" vertical="center"/>
      <protection/>
    </xf>
    <xf numFmtId="186" fontId="7" fillId="17" borderId="11" xfId="62" applyNumberFormat="1" applyFont="1" applyFill="1" applyBorder="1" applyAlignment="1">
      <alignment horizontal="center" vertical="center"/>
      <protection/>
    </xf>
    <xf numFmtId="186" fontId="7" fillId="17" borderId="21" xfId="62" applyNumberFormat="1" applyFont="1" applyFill="1" applyBorder="1" applyAlignment="1">
      <alignment horizontal="center" vertical="center"/>
      <protection/>
    </xf>
    <xf numFmtId="186" fontId="7" fillId="17" borderId="1" xfId="62" applyNumberFormat="1" applyFont="1" applyFill="1" applyBorder="1" applyAlignment="1">
      <alignment horizontal="center" vertical="center"/>
      <protection/>
    </xf>
    <xf numFmtId="186" fontId="7" fillId="0" borderId="22" xfId="62" applyNumberFormat="1" applyFont="1" applyFill="1" applyBorder="1" applyAlignment="1">
      <alignment horizontal="center" vertical="center" wrapText="1"/>
      <protection/>
    </xf>
    <xf numFmtId="186" fontId="7" fillId="0" borderId="15" xfId="62" applyNumberFormat="1" applyFont="1" applyFill="1" applyBorder="1" applyAlignment="1">
      <alignment horizontal="center" vertical="center" wrapText="1"/>
      <protection/>
    </xf>
    <xf numFmtId="186" fontId="7" fillId="17" borderId="0" xfId="61" applyNumberFormat="1" applyFont="1" applyFill="1" applyBorder="1" applyAlignment="1">
      <alignment horizontal="left" vertical="center" wrapText="1"/>
      <protection/>
    </xf>
    <xf numFmtId="187" fontId="7" fillId="17" borderId="1" xfId="62" applyNumberFormat="1" applyFont="1" applyFill="1" applyBorder="1" applyAlignment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186" fontId="7" fillId="17" borderId="11" xfId="62" applyNumberFormat="1" applyFont="1" applyFill="1" applyBorder="1" applyAlignment="1">
      <alignment horizontal="center" vertical="center" wrapText="1"/>
      <protection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2" xfId="0" applyFont="1" applyBorder="1" applyAlignment="1">
      <alignment horizontal="right"/>
    </xf>
    <xf numFmtId="0" fontId="9" fillId="0" borderId="23" xfId="0" applyFont="1" applyBorder="1" applyAlignment="1">
      <alignment horizontal="center" vertical="center"/>
    </xf>
    <xf numFmtId="186" fontId="7" fillId="17" borderId="13" xfId="62" applyNumberFormat="1" applyFont="1" applyFill="1" applyBorder="1" applyAlignment="1">
      <alignment horizontal="center" vertical="center" wrapText="1"/>
      <protection/>
    </xf>
    <xf numFmtId="0" fontId="51" fillId="0" borderId="24" xfId="59" applyFont="1" applyFill="1" applyBorder="1" applyAlignment="1">
      <alignment horizontal="center" vertical="center"/>
      <protection/>
    </xf>
    <xf numFmtId="0" fontId="51" fillId="0" borderId="25" xfId="59" applyFont="1" applyFill="1" applyBorder="1" applyAlignment="1">
      <alignment horizontal="center" vertical="center"/>
      <protection/>
    </xf>
    <xf numFmtId="0" fontId="7" fillId="0" borderId="18" xfId="59" applyFont="1" applyFill="1" applyBorder="1" applyAlignment="1">
      <alignment horizontal="center" vertical="center"/>
      <protection/>
    </xf>
    <xf numFmtId="0" fontId="50" fillId="0" borderId="0" xfId="59" applyFont="1" applyFill="1" applyAlignment="1">
      <alignment horizontal="center"/>
      <protection/>
    </xf>
    <xf numFmtId="185" fontId="7" fillId="0" borderId="1" xfId="59" applyNumberFormat="1" applyFont="1" applyFill="1" applyBorder="1" applyAlignment="1">
      <alignment horizontal="center" vertical="center"/>
      <protection/>
    </xf>
    <xf numFmtId="0" fontId="51" fillId="0" borderId="26" xfId="59" applyFont="1" applyFill="1" applyBorder="1" applyAlignment="1">
      <alignment horizontal="center" vertical="center"/>
      <protection/>
    </xf>
    <xf numFmtId="185" fontId="7" fillId="0" borderId="17" xfId="59" applyNumberFormat="1" applyFont="1" applyFill="1" applyBorder="1" applyAlignment="1">
      <alignment horizontal="center" vertical="center"/>
      <protection/>
    </xf>
    <xf numFmtId="0" fontId="7" fillId="0" borderId="1" xfId="59" applyFont="1" applyFill="1" applyBorder="1" applyAlignment="1">
      <alignment horizontal="center" vertical="center"/>
      <protection/>
    </xf>
    <xf numFmtId="0" fontId="58" fillId="0" borderId="0" xfId="60" applyFont="1" applyAlignment="1">
      <alignment horizontal="center" vertical="center"/>
      <protection/>
    </xf>
    <xf numFmtId="0" fontId="59" fillId="0" borderId="0" xfId="60" applyFont="1" applyAlignment="1">
      <alignment horizontal="center" vertical="center"/>
      <protection/>
    </xf>
    <xf numFmtId="0" fontId="11" fillId="0" borderId="1" xfId="60" applyFont="1" applyBorder="1" applyAlignment="1">
      <alignment horizontal="center" vertical="center"/>
      <protection/>
    </xf>
    <xf numFmtId="186" fontId="5" fillId="0" borderId="12" xfId="60" applyNumberFormat="1" applyFont="1" applyBorder="1" applyAlignment="1">
      <alignment horizontal="right" vertical="center"/>
      <protection/>
    </xf>
    <xf numFmtId="0" fontId="0" fillId="0" borderId="13" xfId="57" applyFont="1" applyBorder="1" applyAlignment="1">
      <alignment horizontal="center" vertical="center"/>
      <protection/>
    </xf>
    <xf numFmtId="0" fontId="0" fillId="0" borderId="21" xfId="57" applyFont="1" applyBorder="1" applyAlignment="1">
      <alignment horizontal="center" vertical="center"/>
      <protection/>
    </xf>
    <xf numFmtId="0" fontId="0" fillId="0" borderId="13" xfId="57" applyFont="1" applyBorder="1" applyAlignment="1">
      <alignment horizontal="center"/>
      <protection/>
    </xf>
    <xf numFmtId="0" fontId="0" fillId="0" borderId="11" xfId="57" applyFont="1" applyBorder="1" applyAlignment="1">
      <alignment horizontal="center"/>
      <protection/>
    </xf>
    <xf numFmtId="0" fontId="0" fillId="0" borderId="21" xfId="57" applyFont="1" applyBorder="1" applyAlignment="1">
      <alignment horizontal="center"/>
      <protection/>
    </xf>
    <xf numFmtId="0" fontId="0" fillId="0" borderId="1" xfId="57" applyFont="1" applyBorder="1" applyAlignment="1">
      <alignment horizontal="center" vertical="center" wrapText="1"/>
      <protection/>
    </xf>
    <xf numFmtId="1" fontId="6" fillId="0" borderId="0" xfId="57" applyNumberFormat="1" applyFont="1" applyAlignment="1">
      <alignment horizontal="center"/>
      <protection/>
    </xf>
    <xf numFmtId="0" fontId="0" fillId="0" borderId="22" xfId="57" applyFont="1" applyBorder="1" applyAlignment="1">
      <alignment horizontal="center" vertical="center" wrapText="1"/>
      <protection/>
    </xf>
    <xf numFmtId="0" fontId="0" fillId="0" borderId="23" xfId="57" applyFont="1" applyBorder="1" applyAlignment="1">
      <alignment horizontal="center" vertical="center" wrapText="1"/>
      <protection/>
    </xf>
    <xf numFmtId="0" fontId="0" fillId="0" borderId="15" xfId="57" applyFont="1" applyBorder="1" applyAlignment="1">
      <alignment horizontal="center" vertical="center" wrapText="1"/>
      <protection/>
    </xf>
    <xf numFmtId="1" fontId="0" fillId="0" borderId="0" xfId="57" applyNumberFormat="1" applyFont="1" applyAlignment="1">
      <alignment horizontal="center"/>
      <protection/>
    </xf>
    <xf numFmtId="0" fontId="0" fillId="0" borderId="1" xfId="57" applyFont="1" applyBorder="1" applyAlignment="1">
      <alignment horizontal="center" vertical="center"/>
      <protection/>
    </xf>
  </cellXfs>
  <cellStyles count="10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_Book1" xfId="16"/>
    <cellStyle name="20% - 强调文字颜色 1" xfId="17"/>
    <cellStyle name="20% - 强调文字颜色 2" xfId="18"/>
    <cellStyle name="20% - 强调文字颜色 3" xfId="19"/>
    <cellStyle name="20% - 强调文字颜色 4" xfId="20"/>
    <cellStyle name="20% - 强调文字颜色 5" xfId="21"/>
    <cellStyle name="20% - 强调文字颜色 6" xfId="22"/>
    <cellStyle name="40% - 强调文字颜色 1" xfId="23"/>
    <cellStyle name="40% - 强调文字颜色 2" xfId="24"/>
    <cellStyle name="40% - 强调文字颜色 3" xfId="25"/>
    <cellStyle name="40% - 强调文字颜色 4" xfId="26"/>
    <cellStyle name="40% - 强调文字颜色 5" xfId="27"/>
    <cellStyle name="40% - 强调文字颜色 6" xfId="28"/>
    <cellStyle name="60% - 强调文字颜色 1" xfId="29"/>
    <cellStyle name="60% - 强调文字颜色 2" xfId="30"/>
    <cellStyle name="60% - 强调文字颜色 3" xfId="31"/>
    <cellStyle name="60% - 强调文字颜色 4" xfId="32"/>
    <cellStyle name="60% - 强调文字颜色 5" xfId="33"/>
    <cellStyle name="60% - 强调文字颜色 6" xfId="34"/>
    <cellStyle name="Comma [0]_laroux" xfId="35"/>
    <cellStyle name="Comma_laroux" xfId="36"/>
    <cellStyle name="Currency [0]_353HHC" xfId="37"/>
    <cellStyle name="Currency_353HHC" xfId="38"/>
    <cellStyle name="Grey" xfId="39"/>
    <cellStyle name="Input [yellow]" xfId="40"/>
    <cellStyle name="no dec" xfId="41"/>
    <cellStyle name="Normal - Style1" xfId="42"/>
    <cellStyle name="Normal_0105第二套审计报表定稿" xfId="43"/>
    <cellStyle name="Percent [2]" xfId="44"/>
    <cellStyle name="Percent" xfId="45"/>
    <cellStyle name="标题" xfId="46"/>
    <cellStyle name="标题 1" xfId="47"/>
    <cellStyle name="标题 2" xfId="48"/>
    <cellStyle name="标题 3" xfId="49"/>
    <cellStyle name="标题 4" xfId="50"/>
    <cellStyle name="标题_国资委" xfId="51"/>
    <cellStyle name="差" xfId="52"/>
    <cellStyle name="常规 2" xfId="53"/>
    <cellStyle name="常规 3" xfId="54"/>
    <cellStyle name="常规_2008年海口市基金预算表(13%)" xfId="55"/>
    <cellStyle name="常规_2008年海口市基金预算表(13%)_2013年海口市一般预算收支预算表（1.15修改）(1)" xfId="56"/>
    <cellStyle name="常规_2008年三项法定支出(财政部及省统计口径)" xfId="57"/>
    <cellStyle name="常规_2009年海口市财政收支预算工作表！(新口径10%3.17定稿）_2013年海口市一般预算收支预算表（1.15修改）(1)" xfId="58"/>
    <cellStyle name="常规_2010年预算表格－2009-11-30发文稿(科目再次调整后）以次表为准" xfId="59"/>
    <cellStyle name="常规_附件1：海口社会保险基金预算表（滨）" xfId="60"/>
    <cellStyle name="常规_附件三之表一：政府模拟预算表" xfId="61"/>
    <cellStyle name="常规_人大报表（第二稿）新科目(九t稿）" xfId="62"/>
    <cellStyle name="Hyperlink" xfId="63"/>
    <cellStyle name="分级显示行_1_13区汇总" xfId="64"/>
    <cellStyle name="好" xfId="65"/>
    <cellStyle name="后继超链接" xfId="66"/>
    <cellStyle name="汇总" xfId="67"/>
    <cellStyle name="Currency" xfId="68"/>
    <cellStyle name="Currency [0]" xfId="69"/>
    <cellStyle name="计算" xfId="70"/>
    <cellStyle name="检查单元格" xfId="71"/>
    <cellStyle name="解释性文本" xfId="72"/>
    <cellStyle name="警告文本" xfId="73"/>
    <cellStyle name="链接单元格" xfId="74"/>
    <cellStyle name="콤마 [0]_BOILER-CO1" xfId="75"/>
    <cellStyle name="콤마_BOILER-CO1" xfId="76"/>
    <cellStyle name="통화 [0]_BOILER-CO1" xfId="77"/>
    <cellStyle name="통화_BOILER-CO1" xfId="78"/>
    <cellStyle name="표준_0N-HANDLING " xfId="79"/>
    <cellStyle name="霓付 [0]_97MBO" xfId="80"/>
    <cellStyle name="霓付_97MBO" xfId="81"/>
    <cellStyle name="烹拳 [0]_97MBO" xfId="82"/>
    <cellStyle name="烹拳_97MBO" xfId="83"/>
    <cellStyle name="普通_ 白土" xfId="84"/>
    <cellStyle name="千分位[0]_ 白土" xfId="85"/>
    <cellStyle name="千分位_ 白土" xfId="86"/>
    <cellStyle name="千位[0]_1" xfId="87"/>
    <cellStyle name="千位_1" xfId="88"/>
    <cellStyle name="Comma" xfId="89"/>
    <cellStyle name="Comma [0]" xfId="90"/>
    <cellStyle name="钎霖_laroux" xfId="91"/>
    <cellStyle name="强调文字颜色 1" xfId="92"/>
    <cellStyle name="强调文字颜色 2" xfId="93"/>
    <cellStyle name="强调文字颜色 3" xfId="94"/>
    <cellStyle name="强调文字颜色 4" xfId="95"/>
    <cellStyle name="强调文字颜色 5" xfId="96"/>
    <cellStyle name="强调文字颜色 6" xfId="97"/>
    <cellStyle name="适中" xfId="98"/>
    <cellStyle name="输出" xfId="99"/>
    <cellStyle name="输入" xfId="100"/>
    <cellStyle name="未定义" xfId="101"/>
    <cellStyle name="Followed Hyperlink" xfId="102"/>
    <cellStyle name="注释" xfId="10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My%20RTX%20Files\01001109\&#20154;&#22823;&#25253;&#21578;&#21450;&#38468;&#24405;&#25171;&#21360;&#29256;\2011&#24180;&#20154;&#22823;&#25253;&#21578;\&#21508;&#31185;&#30446;&#25903;&#20986;&#25968;&#35745;&#31639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My%20RTX%20Files\01001109\2013&#24180;&#20154;&#22823;&#25253;&#34920;&#65288;&#26368;&#26032;&#31295;&#65289;-&#29233;&#26198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istrator\&#26700;&#38754;\&#38468;&#20214;1&#65306;&#28023;&#21475;&#31038;&#20250;&#20445;&#38505;&#22522;&#37329;&#39044;&#31639;&#34920;&#65288;&#283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9支出预算分科目"/>
      <sheetName val="2010年市本级地方一般预算收入"/>
      <sheetName val="2010支出预算分科目 "/>
      <sheetName val="2011支出预算分科目"/>
    </sheetNames>
    <sheetDataSet>
      <sheetData sheetId="3">
        <row r="9">
          <cell r="C9">
            <v>0</v>
          </cell>
          <cell r="D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2全市执行情况表"/>
      <sheetName val="2012市本级执行情况表"/>
      <sheetName val="2013收入预算表(全口径）"/>
      <sheetName val="2013全市预算表"/>
      <sheetName val="2013市本级预算表"/>
      <sheetName val="2013政府性基金预算收支表（姜桢）"/>
      <sheetName val="社保基金预算总表（部分）"/>
      <sheetName val="新口径同比简表 (2012)爱晖"/>
    </sheetNames>
    <sheetDataSet>
      <sheetData sheetId="0">
        <row r="14">
          <cell r="B14">
            <v>974</v>
          </cell>
        </row>
        <row r="17">
          <cell r="B17">
            <v>18721</v>
          </cell>
        </row>
        <row r="18">
          <cell r="B18">
            <v>26301</v>
          </cell>
        </row>
        <row r="19">
          <cell r="B19">
            <v>10117</v>
          </cell>
        </row>
      </sheetData>
      <sheetData sheetId="1">
        <row r="8">
          <cell r="B8">
            <v>23644</v>
          </cell>
          <cell r="D8">
            <v>24377</v>
          </cell>
        </row>
        <row r="9">
          <cell r="B9">
            <v>110390</v>
          </cell>
          <cell r="D9">
            <v>112523</v>
          </cell>
        </row>
        <row r="10">
          <cell r="B10">
            <v>41615</v>
          </cell>
          <cell r="D10">
            <v>51313</v>
          </cell>
        </row>
        <row r="11">
          <cell r="B11">
            <v>15401</v>
          </cell>
          <cell r="D11">
            <v>11030</v>
          </cell>
          <cell r="H11">
            <v>82511</v>
          </cell>
          <cell r="J11">
            <v>111506</v>
          </cell>
        </row>
        <row r="12">
          <cell r="B12">
            <v>24566</v>
          </cell>
          <cell r="D12">
            <v>27952</v>
          </cell>
          <cell r="H12">
            <v>11543</v>
          </cell>
          <cell r="J12">
            <v>13612</v>
          </cell>
        </row>
        <row r="13">
          <cell r="B13">
            <v>20289</v>
          </cell>
          <cell r="D13">
            <v>45561</v>
          </cell>
        </row>
        <row r="14">
          <cell r="D14">
            <v>1176</v>
          </cell>
        </row>
        <row r="16">
          <cell r="B16">
            <v>21920</v>
          </cell>
          <cell r="D16">
            <v>24238</v>
          </cell>
        </row>
        <row r="17">
          <cell r="D17">
            <v>19152</v>
          </cell>
        </row>
        <row r="18">
          <cell r="D18">
            <v>44248</v>
          </cell>
          <cell r="H18">
            <v>58990</v>
          </cell>
          <cell r="J18">
            <v>67737</v>
          </cell>
        </row>
        <row r="19">
          <cell r="D19">
            <v>15704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Up"/>
      <sheetName val="万元为单位"/>
      <sheetName val="表1全省收入"/>
    </sheetNames>
    <sheetDataSet>
      <sheetData sheetId="2">
        <row r="5">
          <cell r="B5">
            <v>2791300259.95</v>
          </cell>
          <cell r="C5">
            <v>3096059190.69</v>
          </cell>
          <cell r="E5">
            <v>3332340834.01</v>
          </cell>
          <cell r="H5">
            <v>2687141082.93</v>
          </cell>
          <cell r="I5">
            <v>2843277428.3100004</v>
          </cell>
          <cell r="K5">
            <v>3290616061.2599993</v>
          </cell>
        </row>
        <row r="9">
          <cell r="B9">
            <v>1242552729.56</v>
          </cell>
          <cell r="C9">
            <v>1403727608.87</v>
          </cell>
          <cell r="E9">
            <v>1542912213.1</v>
          </cell>
          <cell r="H9">
            <v>1266925816.72</v>
          </cell>
          <cell r="I9">
            <v>1398187194</v>
          </cell>
          <cell r="K9">
            <v>1591595679.35</v>
          </cell>
        </row>
        <row r="13">
          <cell r="B13">
            <v>102302163</v>
          </cell>
          <cell r="C13">
            <v>148869527.38</v>
          </cell>
          <cell r="E13">
            <v>83242581.67</v>
          </cell>
          <cell r="H13">
            <v>84561700</v>
          </cell>
          <cell r="I13">
            <v>84644088</v>
          </cell>
          <cell r="K13">
            <v>101354190</v>
          </cell>
        </row>
        <row r="18">
          <cell r="B18">
            <v>540242056.08</v>
          </cell>
          <cell r="C18">
            <v>604825277.42</v>
          </cell>
          <cell r="E18">
            <v>695703169.85</v>
          </cell>
          <cell r="H18">
            <v>540213975.34</v>
          </cell>
          <cell r="I18">
            <v>598597521.71</v>
          </cell>
          <cell r="K18">
            <v>743350518.87</v>
          </cell>
        </row>
        <row r="22">
          <cell r="B22">
            <v>32593127.74</v>
          </cell>
          <cell r="C22">
            <v>34091934.5</v>
          </cell>
          <cell r="E22">
            <v>36608651.42</v>
          </cell>
          <cell r="H22">
            <v>22068630.07</v>
          </cell>
          <cell r="I22">
            <v>15849323.79</v>
          </cell>
          <cell r="K22">
            <v>20487887.95</v>
          </cell>
        </row>
        <row r="26">
          <cell r="B26">
            <v>23229251.85</v>
          </cell>
          <cell r="C26">
            <v>27631961</v>
          </cell>
          <cell r="E26">
            <v>34502336.36</v>
          </cell>
          <cell r="H26">
            <v>23004646.8</v>
          </cell>
          <cell r="I26">
            <v>28632535.64</v>
          </cell>
          <cell r="K26">
            <v>35014589.23</v>
          </cell>
        </row>
        <row r="30">
          <cell r="B30">
            <v>132584869.72</v>
          </cell>
          <cell r="C30">
            <v>178662322.43</v>
          </cell>
          <cell r="E30">
            <v>168170323</v>
          </cell>
          <cell r="H30">
            <v>99146230</v>
          </cell>
          <cell r="I30">
            <v>94348987.31</v>
          </cell>
          <cell r="K30">
            <v>116236720.6</v>
          </cell>
        </row>
        <row r="34">
          <cell r="B34">
            <v>25771187.71</v>
          </cell>
          <cell r="C34">
            <v>54604789.53</v>
          </cell>
          <cell r="E34">
            <v>37078430</v>
          </cell>
          <cell r="H34">
            <v>25226230</v>
          </cell>
          <cell r="I34">
            <v>19992771.73</v>
          </cell>
          <cell r="K34">
            <v>18480501.6</v>
          </cell>
        </row>
        <row r="38">
          <cell r="B38">
            <v>106813682.01</v>
          </cell>
          <cell r="C38">
            <v>124057532.9</v>
          </cell>
          <cell r="E38">
            <v>131091893</v>
          </cell>
          <cell r="H38">
            <v>73920000</v>
          </cell>
          <cell r="I38">
            <v>74356215.58</v>
          </cell>
          <cell r="K38">
            <v>97756219</v>
          </cell>
        </row>
        <row r="42">
          <cell r="B42">
            <v>354710062</v>
          </cell>
          <cell r="C42">
            <v>351196878.09000003</v>
          </cell>
          <cell r="E42">
            <v>389535458.61</v>
          </cell>
          <cell r="H42">
            <v>288220084</v>
          </cell>
          <cell r="I42">
            <v>294933607.86</v>
          </cell>
          <cell r="K42">
            <v>334536475.26</v>
          </cell>
        </row>
        <row r="46">
          <cell r="B46">
            <v>160162310</v>
          </cell>
          <cell r="C46">
            <v>152330684</v>
          </cell>
          <cell r="E46">
            <v>169313000</v>
          </cell>
          <cell r="H46">
            <v>128179884</v>
          </cell>
          <cell r="I46">
            <v>133538930.02</v>
          </cell>
          <cell r="K46">
            <v>163409605</v>
          </cell>
        </row>
        <row r="50">
          <cell r="B50">
            <v>194547752</v>
          </cell>
          <cell r="C50">
            <v>198866194.09</v>
          </cell>
          <cell r="E50">
            <v>220222458.61</v>
          </cell>
          <cell r="H50">
            <v>160040200</v>
          </cell>
          <cell r="I50">
            <v>161394677.84</v>
          </cell>
          <cell r="K50">
            <v>171126870.26</v>
          </cell>
        </row>
        <row r="54">
          <cell r="B54">
            <v>363086000</v>
          </cell>
          <cell r="C54">
            <v>347053681</v>
          </cell>
          <cell r="E54">
            <v>381666100</v>
          </cell>
          <cell r="H54">
            <v>363000000</v>
          </cell>
          <cell r="I54">
            <v>328084170</v>
          </cell>
          <cell r="K54">
            <v>348040000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P75"/>
  <sheetViews>
    <sheetView showZeros="0" zoomScaleSheetLayoutView="100" workbookViewId="0" topLeftCell="A1">
      <pane xSplit="1" ySplit="6" topLeftCell="C2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M37" sqref="M37"/>
    </sheetView>
  </sheetViews>
  <sheetFormatPr defaultColWidth="9.00390625" defaultRowHeight="14.25"/>
  <cols>
    <col min="1" max="1" width="29.875" style="58" customWidth="1"/>
    <col min="2" max="3" width="13.00390625" style="59" customWidth="1"/>
    <col min="4" max="4" width="13.625" style="67" customWidth="1"/>
    <col min="5" max="5" width="10.375" style="67" hidden="1" customWidth="1"/>
    <col min="6" max="6" width="9.50390625" style="59" customWidth="1"/>
    <col min="7" max="7" width="9.50390625" style="58" customWidth="1"/>
    <col min="8" max="8" width="33.25390625" style="58" customWidth="1"/>
    <col min="9" max="9" width="12.25390625" style="59" customWidth="1"/>
    <col min="10" max="10" width="13.875" style="59" customWidth="1"/>
    <col min="11" max="11" width="13.125" style="67" customWidth="1"/>
    <col min="12" max="12" width="10.00390625" style="59" customWidth="1"/>
    <col min="13" max="13" width="10.00390625" style="72" customWidth="1"/>
    <col min="14" max="14" width="10.625" style="58" bestFit="1" customWidth="1"/>
    <col min="15" max="15" width="10.50390625" style="58" bestFit="1" customWidth="1"/>
    <col min="16" max="16384" width="9.00390625" style="58" customWidth="1"/>
  </cols>
  <sheetData>
    <row r="1" spans="1:13" ht="13.5" customHeight="1">
      <c r="A1" s="1" t="s">
        <v>79</v>
      </c>
      <c r="B1" s="2"/>
      <c r="C1" s="2"/>
      <c r="D1" s="35"/>
      <c r="E1" s="35"/>
      <c r="F1" s="2"/>
      <c r="G1" s="2"/>
      <c r="H1" s="2"/>
      <c r="I1" s="2"/>
      <c r="J1" s="2"/>
      <c r="K1" s="35"/>
      <c r="L1" s="2"/>
      <c r="M1" s="3"/>
    </row>
    <row r="2" spans="1:13" ht="19.5" customHeight="1">
      <c r="A2" s="280" t="s">
        <v>234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</row>
    <row r="3" spans="1:13" ht="11.25" customHeight="1">
      <c r="A3" s="51"/>
      <c r="B3" s="4"/>
      <c r="C3" s="4"/>
      <c r="D3" s="53"/>
      <c r="E3" s="53"/>
      <c r="F3" s="4"/>
      <c r="G3" s="4"/>
      <c r="H3" s="4"/>
      <c r="I3" s="4"/>
      <c r="J3" s="4"/>
      <c r="K3" s="53"/>
      <c r="L3" s="4"/>
      <c r="M3" s="5" t="s">
        <v>80</v>
      </c>
    </row>
    <row r="4" spans="1:13" ht="14.25">
      <c r="A4" s="281" t="s">
        <v>81</v>
      </c>
      <c r="B4" s="282"/>
      <c r="C4" s="282"/>
      <c r="D4" s="282"/>
      <c r="E4" s="282"/>
      <c r="F4" s="282"/>
      <c r="G4" s="283"/>
      <c r="H4" s="284" t="s">
        <v>54</v>
      </c>
      <c r="I4" s="284"/>
      <c r="J4" s="284"/>
      <c r="K4" s="284"/>
      <c r="L4" s="284"/>
      <c r="M4" s="284"/>
    </row>
    <row r="5" spans="1:13" ht="14.25" customHeight="1">
      <c r="A5" s="278" t="s">
        <v>55</v>
      </c>
      <c r="B5" s="285" t="s">
        <v>231</v>
      </c>
      <c r="C5" s="278" t="s">
        <v>77</v>
      </c>
      <c r="D5" s="278"/>
      <c r="E5" s="278"/>
      <c r="F5" s="278"/>
      <c r="G5" s="278"/>
      <c r="H5" s="279" t="s">
        <v>82</v>
      </c>
      <c r="I5" s="285" t="s">
        <v>190</v>
      </c>
      <c r="J5" s="284" t="s">
        <v>77</v>
      </c>
      <c r="K5" s="284"/>
      <c r="L5" s="284"/>
      <c r="M5" s="284"/>
    </row>
    <row r="6" spans="1:13" ht="14.25">
      <c r="A6" s="278"/>
      <c r="B6" s="286"/>
      <c r="C6" s="32" t="s">
        <v>4</v>
      </c>
      <c r="D6" s="32" t="s">
        <v>83</v>
      </c>
      <c r="E6" s="32" t="s">
        <v>71</v>
      </c>
      <c r="F6" s="32" t="s">
        <v>84</v>
      </c>
      <c r="G6" s="32" t="s">
        <v>72</v>
      </c>
      <c r="H6" s="279"/>
      <c r="I6" s="286"/>
      <c r="J6" s="7" t="s">
        <v>5</v>
      </c>
      <c r="K6" s="32" t="s">
        <v>83</v>
      </c>
      <c r="L6" s="7" t="s">
        <v>84</v>
      </c>
      <c r="M6" s="32" t="s">
        <v>72</v>
      </c>
    </row>
    <row r="7" spans="1:14" ht="13.5" customHeight="1">
      <c r="A7" s="54" t="s">
        <v>85</v>
      </c>
      <c r="B7" s="68">
        <f>SUM(B8:B20)+1</f>
        <v>528995</v>
      </c>
      <c r="C7" s="68">
        <f>SUM(C8:C20)</f>
        <v>606330</v>
      </c>
      <c r="D7" s="68">
        <f>SUM(D8:D20)</f>
        <v>627526</v>
      </c>
      <c r="E7" s="68">
        <f aca="true" t="shared" si="0" ref="E7:E27">D7-B7</f>
        <v>98531</v>
      </c>
      <c r="F7" s="187">
        <f>D7/C7</f>
        <v>1.034957861230683</v>
      </c>
      <c r="G7" s="187">
        <f>(C7-B7)/B7</f>
        <v>0.14619230805584174</v>
      </c>
      <c r="H7" s="8" t="s">
        <v>86</v>
      </c>
      <c r="I7" s="34">
        <f>136585+76</f>
        <v>136661</v>
      </c>
      <c r="J7" s="161">
        <v>138900</v>
      </c>
      <c r="K7" s="34">
        <v>153678</v>
      </c>
      <c r="L7" s="9">
        <f>K7/J7</f>
        <v>1.1063930885529158</v>
      </c>
      <c r="M7" s="10">
        <f>(K7-I7)/I7</f>
        <v>0.12451979716232137</v>
      </c>
      <c r="N7" s="59"/>
    </row>
    <row r="8" spans="1:14" ht="13.5" customHeight="1">
      <c r="A8" s="11" t="s">
        <v>13</v>
      </c>
      <c r="B8" s="30">
        <v>36790</v>
      </c>
      <c r="C8" s="12">
        <v>42750</v>
      </c>
      <c r="D8" s="30">
        <v>40384</v>
      </c>
      <c r="E8" s="36">
        <f t="shared" si="0"/>
        <v>3594</v>
      </c>
      <c r="F8" s="13">
        <f>D8/C8</f>
        <v>0.944654970760234</v>
      </c>
      <c r="G8" s="14">
        <f aca="true" t="shared" si="1" ref="G8:G27">(D8-B8)/B8</f>
        <v>0.09768958956238108</v>
      </c>
      <c r="H8" s="8" t="s">
        <v>87</v>
      </c>
      <c r="I8" s="155"/>
      <c r="J8" s="164">
        <v>0</v>
      </c>
      <c r="K8" s="155"/>
      <c r="L8" s="9"/>
      <c r="M8" s="10"/>
      <c r="N8" s="59"/>
    </row>
    <row r="9" spans="1:14" ht="13.5" customHeight="1">
      <c r="A9" s="11" t="s">
        <v>14</v>
      </c>
      <c r="B9" s="30">
        <v>158476</v>
      </c>
      <c r="C9" s="12">
        <v>198000</v>
      </c>
      <c r="D9" s="30">
        <v>176208</v>
      </c>
      <c r="E9" s="36">
        <f t="shared" si="0"/>
        <v>17732</v>
      </c>
      <c r="F9" s="13">
        <f aca="true" t="shared" si="2" ref="F9:F20">D9/C9</f>
        <v>0.8899393939393939</v>
      </c>
      <c r="G9" s="14">
        <f t="shared" si="1"/>
        <v>0.11189075948408592</v>
      </c>
      <c r="H9" s="8" t="s">
        <v>88</v>
      </c>
      <c r="I9" s="34">
        <v>3965</v>
      </c>
      <c r="J9" s="161">
        <v>4007</v>
      </c>
      <c r="K9" s="34">
        <f>5875-632</f>
        <v>5243</v>
      </c>
      <c r="L9" s="9">
        <f aca="true" t="shared" si="3" ref="L9:L19">K9/J9</f>
        <v>1.3084601946593462</v>
      </c>
      <c r="M9" s="10">
        <f>(K9-I9)/I9</f>
        <v>0.3223203026481715</v>
      </c>
      <c r="N9" s="59"/>
    </row>
    <row r="10" spans="1:14" ht="13.5" customHeight="1">
      <c r="A10" s="11" t="s">
        <v>15</v>
      </c>
      <c r="B10" s="30">
        <v>76696</v>
      </c>
      <c r="C10" s="12">
        <v>89280</v>
      </c>
      <c r="D10" s="30">
        <v>81938</v>
      </c>
      <c r="E10" s="36">
        <f t="shared" si="0"/>
        <v>5242</v>
      </c>
      <c r="F10" s="13">
        <f t="shared" si="2"/>
        <v>0.9177643369175628</v>
      </c>
      <c r="G10" s="14">
        <f t="shared" si="1"/>
        <v>0.06834776259518098</v>
      </c>
      <c r="H10" s="8" t="s">
        <v>89</v>
      </c>
      <c r="I10" s="34">
        <v>89991</v>
      </c>
      <c r="J10" s="161">
        <v>90718</v>
      </c>
      <c r="K10" s="34">
        <f>101441-2000</f>
        <v>99441</v>
      </c>
      <c r="L10" s="9">
        <f t="shared" si="3"/>
        <v>1.0961551180581584</v>
      </c>
      <c r="M10" s="10">
        <f aca="true" t="shared" si="4" ref="M10:M25">(K10-I10)/I10</f>
        <v>0.10501050105010501</v>
      </c>
      <c r="N10" s="59"/>
    </row>
    <row r="11" spans="1:14" ht="13.5" customHeight="1">
      <c r="A11" s="11" t="s">
        <v>16</v>
      </c>
      <c r="B11" s="30">
        <v>24744</v>
      </c>
      <c r="C11" s="12">
        <v>19800</v>
      </c>
      <c r="D11" s="30">
        <v>18485</v>
      </c>
      <c r="E11" s="36">
        <f t="shared" si="0"/>
        <v>-6259</v>
      </c>
      <c r="F11" s="13">
        <f t="shared" si="2"/>
        <v>0.9335858585858586</v>
      </c>
      <c r="G11" s="14">
        <f t="shared" si="1"/>
        <v>-0.252950210151956</v>
      </c>
      <c r="H11" s="8" t="s">
        <v>90</v>
      </c>
      <c r="I11" s="34">
        <v>176193</v>
      </c>
      <c r="J11" s="161">
        <f>200065+18000</f>
        <v>218065</v>
      </c>
      <c r="K11" s="34">
        <v>212267</v>
      </c>
      <c r="L11" s="9">
        <f t="shared" si="3"/>
        <v>0.9734115974594731</v>
      </c>
      <c r="M11" s="10">
        <f t="shared" si="4"/>
        <v>0.20474139154222926</v>
      </c>
      <c r="N11" s="59"/>
    </row>
    <row r="12" spans="1:16" ht="13.5" customHeight="1">
      <c r="A12" s="11" t="s">
        <v>17</v>
      </c>
      <c r="B12" s="30">
        <v>38152</v>
      </c>
      <c r="C12" s="12">
        <v>49500</v>
      </c>
      <c r="D12" s="30">
        <v>47989</v>
      </c>
      <c r="E12" s="36">
        <f t="shared" si="0"/>
        <v>9837</v>
      </c>
      <c r="F12" s="13">
        <f t="shared" si="2"/>
        <v>0.9694747474747475</v>
      </c>
      <c r="G12" s="14">
        <f t="shared" si="1"/>
        <v>0.25783707276158524</v>
      </c>
      <c r="H12" s="8" t="s">
        <v>91</v>
      </c>
      <c r="I12" s="34">
        <f>19122-5565</f>
        <v>13557</v>
      </c>
      <c r="J12" s="161">
        <v>16085</v>
      </c>
      <c r="K12" s="34">
        <v>16059</v>
      </c>
      <c r="L12" s="9">
        <f t="shared" si="3"/>
        <v>0.998383587193037</v>
      </c>
      <c r="M12" s="10">
        <f t="shared" si="4"/>
        <v>0.18455410489046248</v>
      </c>
      <c r="N12" s="59"/>
      <c r="P12" s="59"/>
    </row>
    <row r="13" spans="1:14" ht="13.5" customHeight="1">
      <c r="A13" s="11" t="s">
        <v>18</v>
      </c>
      <c r="B13" s="30">
        <v>20289</v>
      </c>
      <c r="C13" s="12">
        <v>23400</v>
      </c>
      <c r="D13" s="30">
        <v>45561</v>
      </c>
      <c r="E13" s="36">
        <f t="shared" si="0"/>
        <v>25272</v>
      </c>
      <c r="F13" s="13">
        <f t="shared" si="2"/>
        <v>1.947051282051282</v>
      </c>
      <c r="G13" s="14">
        <f t="shared" si="1"/>
        <v>1.2456010646162945</v>
      </c>
      <c r="H13" s="8" t="s">
        <v>92</v>
      </c>
      <c r="I13" s="34">
        <v>21125</v>
      </c>
      <c r="J13" s="161">
        <v>22576</v>
      </c>
      <c r="K13" s="34">
        <v>19884</v>
      </c>
      <c r="L13" s="9">
        <f t="shared" si="3"/>
        <v>0.8807583274273565</v>
      </c>
      <c r="M13" s="10">
        <f t="shared" si="4"/>
        <v>-0.058745562130177516</v>
      </c>
      <c r="N13" s="59"/>
    </row>
    <row r="14" spans="1:16" ht="13.5" customHeight="1">
      <c r="A14" s="11" t="s">
        <v>19</v>
      </c>
      <c r="B14" s="30">
        <v>974</v>
      </c>
      <c r="C14" s="12">
        <v>1100</v>
      </c>
      <c r="D14" s="30">
        <v>1176</v>
      </c>
      <c r="E14" s="36">
        <f t="shared" si="0"/>
        <v>202</v>
      </c>
      <c r="F14" s="13">
        <f t="shared" si="2"/>
        <v>1.069090909090909</v>
      </c>
      <c r="G14" s="14">
        <f t="shared" si="1"/>
        <v>0.20739219712525667</v>
      </c>
      <c r="H14" s="8" t="s">
        <v>93</v>
      </c>
      <c r="I14" s="34">
        <v>124586</v>
      </c>
      <c r="J14" s="161">
        <v>127289</v>
      </c>
      <c r="K14" s="34">
        <v>143892</v>
      </c>
      <c r="L14" s="9">
        <f t="shared" si="3"/>
        <v>1.1304354657511646</v>
      </c>
      <c r="M14" s="10">
        <f t="shared" si="4"/>
        <v>0.1549612315990561</v>
      </c>
      <c r="N14" s="59"/>
      <c r="O14" s="59"/>
      <c r="P14" s="102"/>
    </row>
    <row r="15" spans="1:16" ht="13.5" customHeight="1">
      <c r="A15" s="11" t="s">
        <v>20</v>
      </c>
      <c r="B15" s="30">
        <v>61374</v>
      </c>
      <c r="C15" s="12">
        <v>78500</v>
      </c>
      <c r="D15" s="30">
        <v>68809</v>
      </c>
      <c r="E15" s="36">
        <f t="shared" si="0"/>
        <v>7435</v>
      </c>
      <c r="F15" s="13">
        <f t="shared" si="2"/>
        <v>0.8765477707006369</v>
      </c>
      <c r="G15" s="14">
        <f t="shared" si="1"/>
        <v>0.12114250334017662</v>
      </c>
      <c r="H15" s="8" t="s">
        <v>94</v>
      </c>
      <c r="I15" s="34">
        <v>75852</v>
      </c>
      <c r="J15" s="161">
        <v>77588</v>
      </c>
      <c r="K15" s="34">
        <v>94914</v>
      </c>
      <c r="L15" s="9">
        <f t="shared" si="3"/>
        <v>1.223307727999175</v>
      </c>
      <c r="M15" s="10">
        <f t="shared" si="4"/>
        <v>0.2513051732320835</v>
      </c>
      <c r="N15" s="59"/>
      <c r="O15" s="59"/>
      <c r="P15" s="102"/>
    </row>
    <row r="16" spans="1:16" ht="13.5" customHeight="1">
      <c r="A16" s="11" t="s">
        <v>21</v>
      </c>
      <c r="B16" s="30">
        <v>34622</v>
      </c>
      <c r="C16" s="12">
        <v>39000</v>
      </c>
      <c r="D16" s="30">
        <v>41307</v>
      </c>
      <c r="E16" s="36">
        <f t="shared" si="0"/>
        <v>6685</v>
      </c>
      <c r="F16" s="13">
        <f t="shared" si="2"/>
        <v>1.0591538461538461</v>
      </c>
      <c r="G16" s="14">
        <f t="shared" si="1"/>
        <v>0.19308532147189647</v>
      </c>
      <c r="H16" s="8" t="s">
        <v>95</v>
      </c>
      <c r="I16" s="34">
        <f>29675+5979</f>
        <v>35654</v>
      </c>
      <c r="J16" s="161">
        <f>36456+4000</f>
        <v>40456</v>
      </c>
      <c r="K16" s="34">
        <v>29361</v>
      </c>
      <c r="L16" s="9">
        <f t="shared" si="3"/>
        <v>0.725751433656318</v>
      </c>
      <c r="M16" s="10">
        <f t="shared" si="4"/>
        <v>-0.17650193526673025</v>
      </c>
      <c r="N16" s="59"/>
      <c r="O16" s="59"/>
      <c r="P16" s="102"/>
    </row>
    <row r="17" spans="1:16" ht="13.5" customHeight="1">
      <c r="A17" s="11" t="s">
        <v>22</v>
      </c>
      <c r="B17" s="30">
        <v>18721</v>
      </c>
      <c r="C17" s="12">
        <v>23000</v>
      </c>
      <c r="D17" s="30">
        <v>19152</v>
      </c>
      <c r="E17" s="36">
        <f t="shared" si="0"/>
        <v>431</v>
      </c>
      <c r="F17" s="13">
        <f t="shared" si="2"/>
        <v>0.8326956521739131</v>
      </c>
      <c r="G17" s="14">
        <f t="shared" si="1"/>
        <v>0.023022274451151115</v>
      </c>
      <c r="H17" s="8" t="s">
        <v>96</v>
      </c>
      <c r="I17" s="34">
        <v>104555</v>
      </c>
      <c r="J17" s="161">
        <v>107096</v>
      </c>
      <c r="K17" s="34">
        <v>101850</v>
      </c>
      <c r="L17" s="9">
        <f t="shared" si="3"/>
        <v>0.9510159109583924</v>
      </c>
      <c r="M17" s="10">
        <f t="shared" si="4"/>
        <v>-0.025871550858399886</v>
      </c>
      <c r="N17" s="59"/>
      <c r="O17" s="59"/>
      <c r="P17" s="102"/>
    </row>
    <row r="18" spans="1:16" ht="13.5" customHeight="1">
      <c r="A18" s="11" t="s">
        <v>23</v>
      </c>
      <c r="B18" s="30">
        <v>26301</v>
      </c>
      <c r="C18" s="12">
        <v>29000</v>
      </c>
      <c r="D18" s="30">
        <v>44248</v>
      </c>
      <c r="E18" s="36">
        <f t="shared" si="0"/>
        <v>17947</v>
      </c>
      <c r="F18" s="13">
        <f t="shared" si="2"/>
        <v>1.525793103448276</v>
      </c>
      <c r="G18" s="14">
        <f t="shared" si="1"/>
        <v>0.6823694916543097</v>
      </c>
      <c r="H18" s="8" t="s">
        <v>97</v>
      </c>
      <c r="I18" s="34">
        <v>80897</v>
      </c>
      <c r="J18" s="161">
        <v>93331</v>
      </c>
      <c r="K18" s="34">
        <v>97171</v>
      </c>
      <c r="L18" s="9">
        <f t="shared" si="3"/>
        <v>1.0411438857400006</v>
      </c>
      <c r="M18" s="10">
        <f t="shared" si="4"/>
        <v>0.20116938823442154</v>
      </c>
      <c r="N18" s="59"/>
      <c r="O18" s="59"/>
      <c r="P18" s="102"/>
    </row>
    <row r="19" spans="1:14" ht="13.5" customHeight="1">
      <c r="A19" s="33" t="s">
        <v>24</v>
      </c>
      <c r="B19" s="30">
        <v>10117</v>
      </c>
      <c r="C19" s="12">
        <v>12000</v>
      </c>
      <c r="D19" s="30">
        <v>15704</v>
      </c>
      <c r="E19" s="36">
        <f t="shared" si="0"/>
        <v>5587</v>
      </c>
      <c r="F19" s="13">
        <f t="shared" si="2"/>
        <v>1.3086666666666666</v>
      </c>
      <c r="G19" s="14">
        <f t="shared" si="1"/>
        <v>0.5522388059701493</v>
      </c>
      <c r="H19" s="8" t="s">
        <v>98</v>
      </c>
      <c r="I19" s="34">
        <v>24874</v>
      </c>
      <c r="J19" s="161">
        <f>22990+10000</f>
        <v>32990</v>
      </c>
      <c r="K19" s="34">
        <f>52843</f>
        <v>52843</v>
      </c>
      <c r="L19" s="9">
        <f t="shared" si="3"/>
        <v>1.6017884207335555</v>
      </c>
      <c r="M19" s="10">
        <f t="shared" si="4"/>
        <v>1.1244271126477445</v>
      </c>
      <c r="N19" s="59"/>
    </row>
    <row r="20" spans="1:14" ht="13.5" customHeight="1">
      <c r="A20" s="11" t="s">
        <v>25</v>
      </c>
      <c r="B20" s="30">
        <v>21738</v>
      </c>
      <c r="C20" s="12">
        <v>1000</v>
      </c>
      <c r="D20" s="30">
        <v>26565</v>
      </c>
      <c r="E20" s="36">
        <f t="shared" si="0"/>
        <v>4827</v>
      </c>
      <c r="F20" s="13">
        <f t="shared" si="2"/>
        <v>26.565</v>
      </c>
      <c r="G20" s="14">
        <f t="shared" si="1"/>
        <v>0.2220535467844328</v>
      </c>
      <c r="H20" s="8" t="s">
        <v>67</v>
      </c>
      <c r="I20" s="34">
        <f>18253-490</f>
        <v>17763</v>
      </c>
      <c r="J20" s="34">
        <v>19354</v>
      </c>
      <c r="K20" s="34">
        <f>26388-1000</f>
        <v>25388</v>
      </c>
      <c r="L20" s="9">
        <f aca="true" t="shared" si="5" ref="L20:L26">K20/J20</f>
        <v>1.3117701767076573</v>
      </c>
      <c r="M20" s="10">
        <f t="shared" si="4"/>
        <v>0.42926307493103644</v>
      </c>
      <c r="N20" s="59"/>
    </row>
    <row r="21" spans="1:14" ht="13.5" customHeight="1">
      <c r="A21" s="54" t="s">
        <v>99</v>
      </c>
      <c r="B21" s="68">
        <f>SUM(B22:B27)</f>
        <v>80324</v>
      </c>
      <c r="C21" s="68">
        <f>SUM(C22:C27)</f>
        <v>94600</v>
      </c>
      <c r="D21" s="68">
        <f>SUM(D22:D27)</f>
        <v>104156</v>
      </c>
      <c r="E21" s="68">
        <f t="shared" si="0"/>
        <v>23832</v>
      </c>
      <c r="F21" s="187">
        <f aca="true" t="shared" si="6" ref="F21:F27">D21/C21</f>
        <v>1.101014799154334</v>
      </c>
      <c r="G21" s="187">
        <f t="shared" si="1"/>
        <v>0.2966983715950401</v>
      </c>
      <c r="H21" s="8" t="s">
        <v>100</v>
      </c>
      <c r="I21" s="34">
        <v>19177</v>
      </c>
      <c r="J21" s="34">
        <v>20695</v>
      </c>
      <c r="K21" s="34">
        <v>18469</v>
      </c>
      <c r="L21" s="9">
        <f t="shared" si="5"/>
        <v>0.8924377869050495</v>
      </c>
      <c r="M21" s="10">
        <f t="shared" si="4"/>
        <v>-0.036919226156333106</v>
      </c>
      <c r="N21" s="59"/>
    </row>
    <row r="22" spans="1:14" ht="13.5" customHeight="1">
      <c r="A22" s="11" t="s">
        <v>26</v>
      </c>
      <c r="B22" s="30">
        <v>26762</v>
      </c>
      <c r="C22" s="12">
        <v>34300</v>
      </c>
      <c r="D22" s="30">
        <v>30139</v>
      </c>
      <c r="E22" s="36">
        <f t="shared" si="0"/>
        <v>3377</v>
      </c>
      <c r="F22" s="13">
        <f t="shared" si="6"/>
        <v>0.8786880466472303</v>
      </c>
      <c r="G22" s="14">
        <f t="shared" si="1"/>
        <v>0.1261863836783499</v>
      </c>
      <c r="H22" s="8" t="s">
        <v>68</v>
      </c>
      <c r="I22" s="34">
        <v>5823</v>
      </c>
      <c r="J22" s="34">
        <v>6229</v>
      </c>
      <c r="K22" s="34">
        <v>5784</v>
      </c>
      <c r="L22" s="9">
        <f t="shared" si="5"/>
        <v>0.928559961470541</v>
      </c>
      <c r="M22" s="10">
        <f t="shared" si="4"/>
        <v>-0.006697578567748583</v>
      </c>
      <c r="N22" s="59"/>
    </row>
    <row r="23" spans="1:14" ht="13.5" customHeight="1">
      <c r="A23" s="11" t="s">
        <v>60</v>
      </c>
      <c r="B23" s="30">
        <v>23375</v>
      </c>
      <c r="C23" s="12">
        <v>29700</v>
      </c>
      <c r="D23" s="30">
        <v>36133</v>
      </c>
      <c r="E23" s="36">
        <f t="shared" si="0"/>
        <v>12758</v>
      </c>
      <c r="F23" s="13">
        <f t="shared" si="6"/>
        <v>1.2165993265993267</v>
      </c>
      <c r="G23" s="14">
        <f t="shared" si="1"/>
        <v>0.5457967914438503</v>
      </c>
      <c r="H23" s="8" t="s">
        <v>69</v>
      </c>
      <c r="I23" s="34">
        <v>42350</v>
      </c>
      <c r="J23" s="34">
        <v>33653</v>
      </c>
      <c r="K23" s="34">
        <v>39307</v>
      </c>
      <c r="L23" s="9">
        <f t="shared" si="5"/>
        <v>1.1680087956497192</v>
      </c>
      <c r="M23" s="10">
        <f t="shared" si="4"/>
        <v>-0.07185360094451003</v>
      </c>
      <c r="N23" s="59"/>
    </row>
    <row r="24" spans="1:14" ht="13.5" customHeight="1">
      <c r="A24" s="15" t="s">
        <v>61</v>
      </c>
      <c r="B24" s="30">
        <v>16201</v>
      </c>
      <c r="C24" s="12">
        <v>20500</v>
      </c>
      <c r="D24" s="30">
        <v>24805</v>
      </c>
      <c r="E24" s="36">
        <f t="shared" si="0"/>
        <v>8604</v>
      </c>
      <c r="F24" s="13">
        <f t="shared" si="6"/>
        <v>1.21</v>
      </c>
      <c r="G24" s="14">
        <f t="shared" si="1"/>
        <v>0.5310783284982409</v>
      </c>
      <c r="H24" s="8" t="s">
        <v>276</v>
      </c>
      <c r="I24" s="34">
        <v>5248</v>
      </c>
      <c r="J24" s="34">
        <v>4105</v>
      </c>
      <c r="K24" s="34">
        <v>3642</v>
      </c>
      <c r="L24" s="9">
        <f t="shared" si="5"/>
        <v>0.88721071863581</v>
      </c>
      <c r="M24" s="10">
        <f t="shared" si="4"/>
        <v>-0.30602134146341464</v>
      </c>
      <c r="N24" s="102"/>
    </row>
    <row r="25" spans="1:14" ht="13.5" customHeight="1">
      <c r="A25" s="11" t="s">
        <v>64</v>
      </c>
      <c r="B25" s="30">
        <v>2553</v>
      </c>
      <c r="C25" s="12">
        <v>0</v>
      </c>
      <c r="D25" s="30"/>
      <c r="E25" s="36">
        <f t="shared" si="0"/>
        <v>-2553</v>
      </c>
      <c r="F25" s="13"/>
      <c r="G25" s="14"/>
      <c r="H25" s="8" t="s">
        <v>70</v>
      </c>
      <c r="I25" s="184">
        <f>SUM(I26:I28)</f>
        <v>19171</v>
      </c>
      <c r="J25" s="16">
        <v>35466</v>
      </c>
      <c r="K25" s="184">
        <f>SUM(K26:K28)</f>
        <v>14982</v>
      </c>
      <c r="L25" s="9">
        <f t="shared" si="5"/>
        <v>0.4224327524953477</v>
      </c>
      <c r="M25" s="10">
        <f t="shared" si="4"/>
        <v>-0.21850712012936205</v>
      </c>
      <c r="N25" s="59"/>
    </row>
    <row r="26" spans="1:14" ht="13.5" customHeight="1">
      <c r="A26" s="31" t="s">
        <v>62</v>
      </c>
      <c r="B26" s="30">
        <v>10464</v>
      </c>
      <c r="C26" s="30">
        <v>9000</v>
      </c>
      <c r="D26" s="30">
        <v>11932</v>
      </c>
      <c r="E26" s="36">
        <f t="shared" si="0"/>
        <v>1468</v>
      </c>
      <c r="F26" s="13">
        <f t="shared" si="6"/>
        <v>1.3257777777777777</v>
      </c>
      <c r="G26" s="14">
        <f t="shared" si="1"/>
        <v>0.14029051987767585</v>
      </c>
      <c r="H26" s="17" t="s">
        <v>101</v>
      </c>
      <c r="I26" s="34"/>
      <c r="J26" s="161">
        <v>20000</v>
      </c>
      <c r="K26" s="34"/>
      <c r="L26" s="9">
        <f t="shared" si="5"/>
        <v>0</v>
      </c>
      <c r="M26" s="10"/>
      <c r="N26" s="59"/>
    </row>
    <row r="27" spans="1:13" ht="13.5" customHeight="1">
      <c r="A27" s="18" t="s">
        <v>63</v>
      </c>
      <c r="B27" s="30">
        <v>969</v>
      </c>
      <c r="C27" s="12">
        <v>1100</v>
      </c>
      <c r="D27" s="30">
        <v>1147</v>
      </c>
      <c r="E27" s="36">
        <f t="shared" si="0"/>
        <v>178</v>
      </c>
      <c r="F27" s="13">
        <f t="shared" si="6"/>
        <v>1.0427272727272727</v>
      </c>
      <c r="G27" s="14">
        <f t="shared" si="1"/>
        <v>0.18369453044375644</v>
      </c>
      <c r="H27" s="17" t="s">
        <v>102</v>
      </c>
      <c r="I27" s="34"/>
      <c r="J27" s="161"/>
      <c r="K27" s="34"/>
      <c r="L27" s="9"/>
      <c r="M27" s="10"/>
    </row>
    <row r="28" spans="1:13" ht="13.5" customHeight="1">
      <c r="A28" s="18"/>
      <c r="B28" s="12"/>
      <c r="C28" s="12"/>
      <c r="D28" s="30"/>
      <c r="E28" s="30"/>
      <c r="F28" s="13"/>
      <c r="G28" s="14"/>
      <c r="H28" s="17" t="s">
        <v>103</v>
      </c>
      <c r="I28" s="34">
        <v>19171</v>
      </c>
      <c r="J28" s="161">
        <v>15466</v>
      </c>
      <c r="K28" s="34">
        <f>15270-288</f>
        <v>14982</v>
      </c>
      <c r="L28" s="9">
        <f>K28/J28</f>
        <v>0.968705547652916</v>
      </c>
      <c r="M28" s="10">
        <f>(K28-I28)/I28</f>
        <v>-0.21850712012936205</v>
      </c>
    </row>
    <row r="29" spans="1:15" ht="13.5" customHeight="1">
      <c r="A29" s="55" t="s">
        <v>205</v>
      </c>
      <c r="B29" s="69">
        <f>SUM(B7,B21)</f>
        <v>609319</v>
      </c>
      <c r="C29" s="69">
        <f>SUM(C7,C21)</f>
        <v>700930</v>
      </c>
      <c r="D29" s="69">
        <f>SUM(D7,D21)</f>
        <v>731682</v>
      </c>
      <c r="E29" s="69">
        <f>D29-B29</f>
        <v>122363</v>
      </c>
      <c r="F29" s="191">
        <f>D29/C29</f>
        <v>1.0438731399711811</v>
      </c>
      <c r="G29" s="191">
        <f>(D29-B29)/B29</f>
        <v>0.20081927528929838</v>
      </c>
      <c r="H29" s="57" t="s">
        <v>207</v>
      </c>
      <c r="I29" s="70">
        <f>SUM(I7:I25)</f>
        <v>997442</v>
      </c>
      <c r="J29" s="70">
        <f>SUM(J7:J25)+2</f>
        <v>1088605</v>
      </c>
      <c r="K29" s="70">
        <f>SUM(K7:K25)</f>
        <v>1134175</v>
      </c>
      <c r="L29" s="191">
        <f>K29/J29</f>
        <v>1.0418609137382246</v>
      </c>
      <c r="M29" s="191">
        <f>(K29-I29)/I29</f>
        <v>0.13708366000228583</v>
      </c>
      <c r="N29" s="59"/>
      <c r="O29" s="59"/>
    </row>
    <row r="30" spans="1:14" ht="13.5" customHeight="1">
      <c r="A30" s="55"/>
      <c r="B30" s="69"/>
      <c r="C30" s="69"/>
      <c r="D30" s="69"/>
      <c r="E30" s="69"/>
      <c r="F30" s="191"/>
      <c r="G30" s="191"/>
      <c r="H30" s="57"/>
      <c r="I30" s="70"/>
      <c r="J30" s="70"/>
      <c r="K30" s="70"/>
      <c r="L30" s="191"/>
      <c r="M30" s="191"/>
      <c r="N30" s="59"/>
    </row>
    <row r="31" spans="1:14" ht="13.5" customHeight="1">
      <c r="A31" s="54" t="s">
        <v>3</v>
      </c>
      <c r="B31" s="69">
        <f>B32+B36+B37+B40</f>
        <v>477876</v>
      </c>
      <c r="C31" s="69">
        <f>C32+C36+C37+C40</f>
        <v>440075</v>
      </c>
      <c r="D31" s="69">
        <f>D32+D36+D37+D40</f>
        <v>565465</v>
      </c>
      <c r="E31" s="69">
        <f aca="true" t="shared" si="7" ref="E31:E45">D31-B31</f>
        <v>87589</v>
      </c>
      <c r="F31" s="191">
        <f aca="true" t="shared" si="8" ref="F31:F39">D31/C31</f>
        <v>1.284928705334318</v>
      </c>
      <c r="G31" s="191">
        <f aca="true" t="shared" si="9" ref="G31:G39">(D31-B31)/B31</f>
        <v>0.1832881333232889</v>
      </c>
      <c r="H31" s="8" t="s">
        <v>185</v>
      </c>
      <c r="I31" s="70">
        <f>SUM(I32,I37,I39,I41)+I38+I40</f>
        <v>52684</v>
      </c>
      <c r="J31" s="70">
        <f>SUM(J32,J37,J39,J41)+J38+J40</f>
        <v>52000</v>
      </c>
      <c r="K31" s="70">
        <f>SUM(K32,K37,K39,K41)+K38+K40</f>
        <v>103193</v>
      </c>
      <c r="L31" s="191">
        <f>K31/J31</f>
        <v>1.9844807692307693</v>
      </c>
      <c r="M31" s="191">
        <f>(K31-I31)/I31</f>
        <v>0.9587161187457293</v>
      </c>
      <c r="N31" s="59"/>
    </row>
    <row r="32" spans="1:14" ht="13.5" customHeight="1">
      <c r="A32" s="11" t="s">
        <v>51</v>
      </c>
      <c r="B32" s="30">
        <f>SUM(B33:B35)</f>
        <v>370379</v>
      </c>
      <c r="C32" s="30">
        <v>371006</v>
      </c>
      <c r="D32" s="30">
        <f>SUM(D33:D35)</f>
        <v>445308</v>
      </c>
      <c r="E32" s="36">
        <f t="shared" si="7"/>
        <v>74929</v>
      </c>
      <c r="F32" s="13">
        <f t="shared" si="8"/>
        <v>1.200271693719239</v>
      </c>
      <c r="G32" s="14">
        <f t="shared" si="9"/>
        <v>0.2023035863264386</v>
      </c>
      <c r="H32" s="30" t="s">
        <v>27</v>
      </c>
      <c r="I32" s="34">
        <v>0</v>
      </c>
      <c r="J32" s="34"/>
      <c r="K32" s="34">
        <f>SUM(K33:K36)</f>
        <v>0</v>
      </c>
      <c r="L32" s="9"/>
      <c r="M32" s="10"/>
      <c r="N32" s="59"/>
    </row>
    <row r="33" spans="1:14" ht="13.5" customHeight="1">
      <c r="A33" s="11" t="s">
        <v>38</v>
      </c>
      <c r="B33" s="30">
        <v>60888</v>
      </c>
      <c r="C33" s="12">
        <v>62502</v>
      </c>
      <c r="D33" s="30">
        <v>49197</v>
      </c>
      <c r="E33" s="36">
        <f t="shared" si="7"/>
        <v>-11691</v>
      </c>
      <c r="F33" s="13">
        <f t="shared" si="8"/>
        <v>0.7871268119420178</v>
      </c>
      <c r="G33" s="14">
        <f t="shared" si="9"/>
        <v>-0.1920082774931021</v>
      </c>
      <c r="H33" s="16" t="s">
        <v>28</v>
      </c>
      <c r="I33" s="34"/>
      <c r="J33" s="34"/>
      <c r="K33" s="34"/>
      <c r="L33" s="9"/>
      <c r="M33" s="10"/>
      <c r="N33" s="59"/>
    </row>
    <row r="34" spans="1:14" ht="13.5" customHeight="1">
      <c r="A34" s="15" t="s">
        <v>37</v>
      </c>
      <c r="B34" s="30">
        <v>71877</v>
      </c>
      <c r="C34" s="12">
        <v>90439</v>
      </c>
      <c r="D34" s="30">
        <f>147299-49197</f>
        <v>98102</v>
      </c>
      <c r="E34" s="36">
        <f t="shared" si="7"/>
        <v>26225</v>
      </c>
      <c r="F34" s="13">
        <f t="shared" si="8"/>
        <v>1.0847311447494996</v>
      </c>
      <c r="G34" s="14">
        <f t="shared" si="9"/>
        <v>0.3648594126076492</v>
      </c>
      <c r="H34" s="16" t="s">
        <v>29</v>
      </c>
      <c r="I34" s="34"/>
      <c r="J34" s="34"/>
      <c r="K34" s="34"/>
      <c r="L34" s="9"/>
      <c r="M34" s="10"/>
      <c r="N34" s="59"/>
    </row>
    <row r="35" spans="1:14" ht="13.5" customHeight="1">
      <c r="A35" s="11" t="s">
        <v>39</v>
      </c>
      <c r="B35" s="30">
        <v>237614</v>
      </c>
      <c r="C35" s="12">
        <v>218065</v>
      </c>
      <c r="D35" s="30">
        <v>298009</v>
      </c>
      <c r="E35" s="36">
        <f t="shared" si="7"/>
        <v>60395</v>
      </c>
      <c r="F35" s="13">
        <f t="shared" si="8"/>
        <v>1.3666062871162268</v>
      </c>
      <c r="G35" s="14">
        <f t="shared" si="9"/>
        <v>0.25417273392981893</v>
      </c>
      <c r="H35" s="16" t="s">
        <v>30</v>
      </c>
      <c r="I35" s="34"/>
      <c r="J35" s="34"/>
      <c r="K35" s="34"/>
      <c r="L35" s="9"/>
      <c r="M35" s="10"/>
      <c r="N35" s="59"/>
    </row>
    <row r="36" spans="1:14" ht="13.5" customHeight="1">
      <c r="A36" s="11" t="s">
        <v>40</v>
      </c>
      <c r="B36" s="30">
        <v>15000</v>
      </c>
      <c r="C36" s="12">
        <v>32000</v>
      </c>
      <c r="D36" s="30">
        <v>32000</v>
      </c>
      <c r="E36" s="36">
        <f t="shared" si="7"/>
        <v>17000</v>
      </c>
      <c r="F36" s="13">
        <f t="shared" si="8"/>
        <v>1</v>
      </c>
      <c r="G36" s="14">
        <f t="shared" si="9"/>
        <v>1.1333333333333333</v>
      </c>
      <c r="H36" s="16" t="s">
        <v>31</v>
      </c>
      <c r="I36" s="34"/>
      <c r="J36" s="34"/>
      <c r="K36" s="34"/>
      <c r="L36" s="9"/>
      <c r="M36" s="10"/>
      <c r="N36" s="59"/>
    </row>
    <row r="37" spans="1:15" ht="13.5" customHeight="1">
      <c r="A37" s="11" t="s">
        <v>283</v>
      </c>
      <c r="B37" s="36">
        <f>B38+B39</f>
        <v>40498</v>
      </c>
      <c r="C37" s="36">
        <v>37069</v>
      </c>
      <c r="D37" s="36">
        <f>D38+D39</f>
        <v>38191</v>
      </c>
      <c r="E37" s="36">
        <f t="shared" si="7"/>
        <v>-2307</v>
      </c>
      <c r="F37" s="13">
        <f t="shared" si="8"/>
        <v>1.030267878820578</v>
      </c>
      <c r="G37" s="14">
        <f t="shared" si="9"/>
        <v>-0.05696577608770804</v>
      </c>
      <c r="H37" s="30" t="s">
        <v>32</v>
      </c>
      <c r="I37" s="34">
        <v>33925</v>
      </c>
      <c r="J37" s="164">
        <f>33000</f>
        <v>33000</v>
      </c>
      <c r="K37" s="34">
        <v>49553</v>
      </c>
      <c r="L37" s="9">
        <f>K37/J37</f>
        <v>1.5016060606060606</v>
      </c>
      <c r="M37" s="9">
        <f>(K37-I37)/I37</f>
        <v>0.4606632277081798</v>
      </c>
      <c r="N37" s="59"/>
      <c r="O37" s="59"/>
    </row>
    <row r="38" spans="1:14" ht="13.5" customHeight="1">
      <c r="A38" s="37" t="s">
        <v>284</v>
      </c>
      <c r="B38" s="30">
        <f>39645-90</f>
        <v>39555</v>
      </c>
      <c r="C38" s="12">
        <v>36679</v>
      </c>
      <c r="D38" s="30">
        <v>37266</v>
      </c>
      <c r="E38" s="36">
        <f t="shared" si="7"/>
        <v>-2289</v>
      </c>
      <c r="F38" s="13">
        <f t="shared" si="8"/>
        <v>1.0160037078437254</v>
      </c>
      <c r="G38" s="14">
        <f t="shared" si="9"/>
        <v>-0.057868790291998484</v>
      </c>
      <c r="H38" s="30" t="s">
        <v>59</v>
      </c>
      <c r="I38" s="34"/>
      <c r="J38" s="164">
        <v>7000</v>
      </c>
      <c r="K38" s="34"/>
      <c r="L38" s="9"/>
      <c r="M38" s="10"/>
      <c r="N38" s="59"/>
    </row>
    <row r="39" spans="1:14" ht="13.5" customHeight="1">
      <c r="A39" s="37" t="s">
        <v>285</v>
      </c>
      <c r="B39" s="30">
        <v>943</v>
      </c>
      <c r="C39" s="12">
        <v>390</v>
      </c>
      <c r="D39" s="30">
        <v>925</v>
      </c>
      <c r="E39" s="36">
        <f t="shared" si="7"/>
        <v>-18</v>
      </c>
      <c r="F39" s="13">
        <f t="shared" si="8"/>
        <v>2.371794871794872</v>
      </c>
      <c r="G39" s="14">
        <f t="shared" si="9"/>
        <v>-0.019088016967126194</v>
      </c>
      <c r="H39" s="30" t="s">
        <v>286</v>
      </c>
      <c r="I39" s="34">
        <f>9157-14</f>
        <v>9143</v>
      </c>
      <c r="J39" s="164">
        <v>12000</v>
      </c>
      <c r="K39" s="34">
        <v>10290</v>
      </c>
      <c r="L39" s="9">
        <f>K39/J39</f>
        <v>0.8575</v>
      </c>
      <c r="M39" s="9">
        <f>(K39-I39)/I39</f>
        <v>0.1254511648255496</v>
      </c>
      <c r="N39" s="59"/>
    </row>
    <row r="40" spans="1:14" ht="14.25">
      <c r="A40" s="11" t="s">
        <v>227</v>
      </c>
      <c r="B40" s="30">
        <f>SUM(B41:B43)</f>
        <v>51999</v>
      </c>
      <c r="C40" s="12"/>
      <c r="D40" s="30">
        <f>SUM(D41:D43)</f>
        <v>49966</v>
      </c>
      <c r="E40" s="36">
        <f t="shared" si="7"/>
        <v>-2033</v>
      </c>
      <c r="F40" s="13"/>
      <c r="G40" s="14"/>
      <c r="H40" s="30" t="s">
        <v>76</v>
      </c>
      <c r="I40" s="34">
        <f>8616+1000</f>
        <v>9616</v>
      </c>
      <c r="J40" s="164"/>
      <c r="K40" s="34"/>
      <c r="L40" s="162"/>
      <c r="M40" s="190"/>
      <c r="N40" s="59"/>
    </row>
    <row r="41" spans="1:14" ht="13.5" customHeight="1">
      <c r="A41" s="11" t="s">
        <v>41</v>
      </c>
      <c r="B41" s="30">
        <f>38000+9157+5567-945-856+1000+90-14</f>
        <v>51999</v>
      </c>
      <c r="C41" s="12"/>
      <c r="D41" s="30">
        <v>43350</v>
      </c>
      <c r="E41" s="36">
        <f t="shared" si="7"/>
        <v>-8649</v>
      </c>
      <c r="F41" s="13"/>
      <c r="G41" s="14"/>
      <c r="H41" s="30" t="s">
        <v>192</v>
      </c>
      <c r="I41" s="34"/>
      <c r="J41" s="34"/>
      <c r="K41" s="34">
        <v>43350</v>
      </c>
      <c r="L41" s="192"/>
      <c r="M41" s="10"/>
      <c r="N41" s="59"/>
    </row>
    <row r="42" spans="1:14" ht="13.5" customHeight="1">
      <c r="A42" s="15" t="s">
        <v>104</v>
      </c>
      <c r="B42" s="30"/>
      <c r="C42" s="12"/>
      <c r="D42" s="30"/>
      <c r="E42" s="36">
        <f t="shared" si="7"/>
        <v>0</v>
      </c>
      <c r="F42" s="13"/>
      <c r="G42" s="14"/>
      <c r="H42" s="16"/>
      <c r="I42" s="34"/>
      <c r="J42" s="71"/>
      <c r="K42" s="34"/>
      <c r="L42" s="192"/>
      <c r="M42" s="10"/>
      <c r="N42" s="59"/>
    </row>
    <row r="43" spans="1:14" ht="13.5" customHeight="1">
      <c r="A43" s="15" t="s">
        <v>42</v>
      </c>
      <c r="B43" s="30"/>
      <c r="C43" s="12"/>
      <c r="D43" s="30">
        <v>6616</v>
      </c>
      <c r="E43" s="36">
        <f t="shared" si="7"/>
        <v>6616</v>
      </c>
      <c r="F43" s="13"/>
      <c r="G43" s="14"/>
      <c r="H43" s="16"/>
      <c r="I43" s="34"/>
      <c r="J43" s="34"/>
      <c r="K43" s="34"/>
      <c r="L43" s="192"/>
      <c r="M43" s="193"/>
      <c r="N43" s="59"/>
    </row>
    <row r="44" spans="1:14" ht="13.5" customHeight="1">
      <c r="A44" s="15"/>
      <c r="B44" s="30"/>
      <c r="C44" s="12"/>
      <c r="D44" s="30"/>
      <c r="E44" s="36"/>
      <c r="F44" s="13"/>
      <c r="G44" s="14"/>
      <c r="H44" s="16"/>
      <c r="I44" s="34"/>
      <c r="J44" s="34"/>
      <c r="K44" s="34"/>
      <c r="L44" s="192"/>
      <c r="M44" s="193"/>
      <c r="N44" s="59"/>
    </row>
    <row r="45" spans="1:14" ht="13.5" customHeight="1">
      <c r="A45" s="55" t="s">
        <v>206</v>
      </c>
      <c r="B45" s="69">
        <f>B29+B31</f>
        <v>1087195</v>
      </c>
      <c r="C45" s="69">
        <f>C29+C31</f>
        <v>1141005</v>
      </c>
      <c r="D45" s="69">
        <f>D29+D31</f>
        <v>1297147</v>
      </c>
      <c r="E45" s="69">
        <f t="shared" si="7"/>
        <v>209952</v>
      </c>
      <c r="F45" s="89">
        <f>D45/C45</f>
        <v>1.1368460260910338</v>
      </c>
      <c r="G45" s="89">
        <f>(D45-B45)/B45</f>
        <v>0.19311347090448355</v>
      </c>
      <c r="H45" s="55" t="s">
        <v>208</v>
      </c>
      <c r="I45" s="70">
        <f>I29+I31</f>
        <v>1050126</v>
      </c>
      <c r="J45" s="70">
        <f>J29+J31</f>
        <v>1140605</v>
      </c>
      <c r="K45" s="70">
        <f>K29+K31</f>
        <v>1237368</v>
      </c>
      <c r="L45" s="191">
        <f>K45/J45</f>
        <v>1.0848348025828398</v>
      </c>
      <c r="M45" s="191">
        <f>(K45-I45)/I45</f>
        <v>0.17830431776758218</v>
      </c>
      <c r="N45" s="59"/>
    </row>
    <row r="46" spans="1:14" ht="13.5" customHeight="1">
      <c r="A46" s="55"/>
      <c r="B46" s="69"/>
      <c r="C46" s="69"/>
      <c r="D46" s="69"/>
      <c r="E46" s="69"/>
      <c r="F46" s="89"/>
      <c r="G46" s="89"/>
      <c r="H46" s="55"/>
      <c r="I46" s="70"/>
      <c r="J46" s="70"/>
      <c r="K46" s="70"/>
      <c r="L46" s="191"/>
      <c r="M46" s="191"/>
      <c r="N46" s="59"/>
    </row>
    <row r="47" spans="1:14" ht="13.5" customHeight="1">
      <c r="A47" s="55"/>
      <c r="B47" s="69"/>
      <c r="C47" s="69"/>
      <c r="D47" s="69"/>
      <c r="E47" s="69"/>
      <c r="F47" s="89"/>
      <c r="G47" s="89"/>
      <c r="H47" s="123" t="s">
        <v>230</v>
      </c>
      <c r="I47" s="70">
        <f>SUM(I48:I49)</f>
        <v>37069</v>
      </c>
      <c r="J47" s="70">
        <f>SUM(J48:J49)</f>
        <v>400</v>
      </c>
      <c r="K47" s="70">
        <f>SUM(K48:K49)</f>
        <v>59779</v>
      </c>
      <c r="L47" s="191"/>
      <c r="M47" s="191"/>
      <c r="N47" s="59"/>
    </row>
    <row r="48" spans="1:14" ht="13.5" customHeight="1">
      <c r="A48" s="15"/>
      <c r="B48" s="30"/>
      <c r="C48" s="12"/>
      <c r="D48" s="30"/>
      <c r="E48" s="36"/>
      <c r="F48" s="13"/>
      <c r="G48" s="14"/>
      <c r="H48" s="16" t="s">
        <v>281</v>
      </c>
      <c r="I48" s="34">
        <v>36679</v>
      </c>
      <c r="J48" s="34"/>
      <c r="K48" s="34">
        <v>57219</v>
      </c>
      <c r="L48" s="192"/>
      <c r="M48" s="193"/>
      <c r="N48" s="59"/>
    </row>
    <row r="49" spans="1:14" ht="13.5" customHeight="1">
      <c r="A49" s="15"/>
      <c r="B49" s="30"/>
      <c r="C49" s="12"/>
      <c r="D49" s="30"/>
      <c r="E49" s="36"/>
      <c r="F49" s="13"/>
      <c r="G49" s="14"/>
      <c r="H49" s="16" t="s">
        <v>282</v>
      </c>
      <c r="I49" s="34">
        <f>390</f>
        <v>390</v>
      </c>
      <c r="J49" s="34">
        <v>400</v>
      </c>
      <c r="K49" s="34">
        <v>2560</v>
      </c>
      <c r="L49" s="192"/>
      <c r="M49" s="193"/>
      <c r="N49" s="59"/>
    </row>
    <row r="50" spans="1:13" ht="13.5" customHeight="1">
      <c r="A50" s="275"/>
      <c r="B50" s="276"/>
      <c r="C50" s="276"/>
      <c r="D50" s="276"/>
      <c r="E50" s="276"/>
      <c r="F50" s="276"/>
      <c r="G50" s="276"/>
      <c r="H50" s="276"/>
      <c r="I50" s="276"/>
      <c r="J50" s="276"/>
      <c r="K50" s="276"/>
      <c r="L50" s="276"/>
      <c r="M50" s="276"/>
    </row>
    <row r="51" spans="1:13" ht="13.5" customHeight="1">
      <c r="A51" s="277"/>
      <c r="B51" s="277"/>
      <c r="C51" s="277"/>
      <c r="D51" s="277"/>
      <c r="E51" s="277"/>
      <c r="F51" s="277"/>
      <c r="G51" s="277"/>
      <c r="H51" s="277"/>
      <c r="I51" s="277"/>
      <c r="J51" s="277"/>
      <c r="K51" s="277"/>
      <c r="L51" s="277"/>
      <c r="M51" s="277"/>
    </row>
    <row r="52" spans="1:13" ht="13.5" customHeight="1">
      <c r="A52" s="277"/>
      <c r="B52" s="277"/>
      <c r="C52" s="277"/>
      <c r="D52" s="277"/>
      <c r="E52" s="277"/>
      <c r="F52" s="277"/>
      <c r="G52" s="277"/>
      <c r="H52" s="277"/>
      <c r="I52" s="277"/>
      <c r="J52" s="277"/>
      <c r="K52" s="277"/>
      <c r="L52" s="277"/>
      <c r="M52" s="277"/>
    </row>
    <row r="53" spans="1:13" s="117" customFormat="1" ht="13.5" customHeight="1">
      <c r="A53" s="103"/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</row>
    <row r="54" spans="1:11" ht="13.5" customHeight="1">
      <c r="A54" s="118"/>
      <c r="B54" s="118"/>
      <c r="C54" s="118"/>
      <c r="D54" s="119"/>
      <c r="E54" s="119"/>
      <c r="F54" s="118"/>
      <c r="G54" s="2"/>
      <c r="K54" s="59"/>
    </row>
    <row r="55" spans="2:13" ht="13.5" customHeight="1">
      <c r="B55" s="73"/>
      <c r="C55" s="73"/>
      <c r="D55" s="73"/>
      <c r="E55" s="73"/>
      <c r="G55" s="2"/>
      <c r="J55" s="58"/>
      <c r="K55" s="59"/>
      <c r="L55" s="58"/>
      <c r="M55" s="58"/>
    </row>
    <row r="56" spans="4:13" ht="13.5" customHeight="1">
      <c r="D56" s="73"/>
      <c r="E56" s="73"/>
      <c r="G56" s="2"/>
      <c r="J56" s="58"/>
      <c r="K56" s="58"/>
      <c r="L56" s="58"/>
      <c r="M56" s="58"/>
    </row>
    <row r="57" spans="1:11" s="66" customFormat="1" ht="13.5" customHeight="1">
      <c r="A57" s="58"/>
      <c r="B57" s="59"/>
      <c r="C57" s="59"/>
      <c r="D57" s="59"/>
      <c r="E57" s="59"/>
      <c r="F57" s="59"/>
      <c r="G57" s="2"/>
      <c r="H57" s="58"/>
      <c r="I57" s="59"/>
      <c r="K57" s="95"/>
    </row>
    <row r="58" spans="1:9" s="66" customFormat="1" ht="13.5" customHeight="1">
      <c r="A58" s="58"/>
      <c r="B58" s="59"/>
      <c r="C58" s="59"/>
      <c r="D58" s="59"/>
      <c r="E58" s="59"/>
      <c r="F58" s="59"/>
      <c r="G58" s="58"/>
      <c r="H58" s="58"/>
      <c r="I58" s="59"/>
    </row>
    <row r="59" spans="4:13" ht="14.25">
      <c r="D59" s="59"/>
      <c r="E59" s="59"/>
      <c r="J59" s="58"/>
      <c r="K59" s="59"/>
      <c r="L59" s="58"/>
      <c r="M59" s="58"/>
    </row>
    <row r="60" spans="4:13" ht="14.25">
      <c r="D60" s="59"/>
      <c r="E60" s="59"/>
      <c r="J60" s="58"/>
      <c r="K60" s="58"/>
      <c r="L60" s="58"/>
      <c r="M60" s="58"/>
    </row>
    <row r="61" spans="4:13" ht="14.25">
      <c r="D61" s="59"/>
      <c r="E61" s="59"/>
      <c r="J61" s="58"/>
      <c r="K61" s="58"/>
      <c r="L61" s="58"/>
      <c r="M61" s="58"/>
    </row>
    <row r="62" spans="4:13" ht="14.25">
      <c r="D62" s="59"/>
      <c r="E62" s="59"/>
      <c r="J62" s="58"/>
      <c r="K62" s="58"/>
      <c r="L62" s="58"/>
      <c r="M62" s="58"/>
    </row>
    <row r="63" spans="4:13" ht="14.25">
      <c r="D63" s="59"/>
      <c r="E63" s="59"/>
      <c r="J63" s="58"/>
      <c r="K63" s="58"/>
      <c r="L63" s="58"/>
      <c r="M63" s="58"/>
    </row>
    <row r="64" spans="4:5" ht="14.25">
      <c r="D64" s="59"/>
      <c r="E64" s="59"/>
    </row>
    <row r="65" spans="4:5" ht="14.25">
      <c r="D65" s="59"/>
      <c r="E65" s="59"/>
    </row>
    <row r="66" spans="4:5" ht="14.25">
      <c r="D66" s="59"/>
      <c r="E66" s="59"/>
    </row>
    <row r="67" spans="4:5" ht="14.25">
      <c r="D67" s="59"/>
      <c r="E67" s="59"/>
    </row>
    <row r="68" spans="4:5" ht="14.25">
      <c r="D68" s="59"/>
      <c r="E68" s="59"/>
    </row>
    <row r="69" spans="4:5" ht="14.25">
      <c r="D69" s="59"/>
      <c r="E69" s="59"/>
    </row>
    <row r="70" spans="4:5" ht="14.25">
      <c r="D70" s="59"/>
      <c r="E70" s="59"/>
    </row>
    <row r="71" spans="4:5" ht="14.25">
      <c r="D71" s="59"/>
      <c r="E71" s="59"/>
    </row>
    <row r="72" spans="4:5" ht="14.25">
      <c r="D72" s="59"/>
      <c r="E72" s="59"/>
    </row>
    <row r="73" spans="4:5" ht="14.25">
      <c r="D73" s="59"/>
      <c r="E73" s="59"/>
    </row>
    <row r="74" spans="4:5" ht="14.25">
      <c r="D74" s="59"/>
      <c r="E74" s="59"/>
    </row>
    <row r="75" spans="4:5" ht="14.25">
      <c r="D75" s="59"/>
      <c r="E75" s="59"/>
    </row>
  </sheetData>
  <mergeCells count="10">
    <mergeCell ref="A50:M52"/>
    <mergeCell ref="A5:A6"/>
    <mergeCell ref="H5:H6"/>
    <mergeCell ref="A2:M2"/>
    <mergeCell ref="A4:G4"/>
    <mergeCell ref="C5:G5"/>
    <mergeCell ref="H4:M4"/>
    <mergeCell ref="J5:M5"/>
    <mergeCell ref="B5:B6"/>
    <mergeCell ref="I5:I6"/>
  </mergeCells>
  <printOptions horizontalCentered="1" verticalCentered="1"/>
  <pageMargins left="0" right="0" top="0.1968503937007874" bottom="0.1968503937007874" header="0.5118110236220472" footer="0.5118110236220472"/>
  <pageSetup horizontalDpi="600" verticalDpi="600" orientation="landscape" paperSize="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/>
  <dimension ref="A1:P59"/>
  <sheetViews>
    <sheetView zoomScaleSheetLayoutView="100" workbookViewId="0" topLeftCell="A1">
      <pane ySplit="7" topLeftCell="BM26" activePane="bottomLeft" state="frozen"/>
      <selection pane="topLeft" activeCell="A1" sqref="A1"/>
      <selection pane="bottomLeft" activeCell="C55" sqref="C55"/>
    </sheetView>
  </sheetViews>
  <sheetFormatPr defaultColWidth="9.00390625" defaultRowHeight="14.25"/>
  <cols>
    <col min="1" max="1" width="32.375" style="58" customWidth="1"/>
    <col min="2" max="3" width="12.375" style="58" customWidth="1"/>
    <col min="4" max="4" width="12.625" style="58" customWidth="1"/>
    <col min="5" max="6" width="10.875" style="58" customWidth="1"/>
    <col min="7" max="7" width="35.00390625" style="58" customWidth="1"/>
    <col min="8" max="8" width="10.875" style="59" customWidth="1"/>
    <col min="9" max="9" width="12.875" style="58" customWidth="1"/>
    <col min="10" max="10" width="12.625" style="75" customWidth="1"/>
    <col min="11" max="11" width="10.75390625" style="58" customWidth="1"/>
    <col min="12" max="12" width="10.375" style="72" customWidth="1"/>
    <col min="13" max="13" width="9.375" style="84" customWidth="1"/>
    <col min="14" max="14" width="10.375" style="84" customWidth="1"/>
    <col min="15" max="15" width="9.50390625" style="58" bestFit="1" customWidth="1"/>
    <col min="16" max="16384" width="9.00390625" style="58" customWidth="1"/>
  </cols>
  <sheetData>
    <row r="1" spans="1:12" ht="14.25">
      <c r="A1" s="1" t="s">
        <v>222</v>
      </c>
      <c r="B1" s="2"/>
      <c r="C1" s="2"/>
      <c r="D1" s="2"/>
      <c r="E1" s="2"/>
      <c r="F1" s="2"/>
      <c r="G1" s="2"/>
      <c r="H1" s="2"/>
      <c r="I1" s="2"/>
      <c r="J1" s="35"/>
      <c r="K1" s="2"/>
      <c r="L1" s="3"/>
    </row>
    <row r="2" spans="1:12" ht="21" customHeight="1">
      <c r="A2" s="280" t="s">
        <v>235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</row>
    <row r="3" spans="1:12" ht="14.25" customHeight="1">
      <c r="A3" s="51"/>
      <c r="B3" s="4"/>
      <c r="C3" s="4"/>
      <c r="D3" s="4"/>
      <c r="E3" s="4"/>
      <c r="F3" s="4"/>
      <c r="G3" s="4"/>
      <c r="H3" s="4"/>
      <c r="I3" s="4"/>
      <c r="J3" s="53"/>
      <c r="K3" s="4"/>
      <c r="L3" s="20" t="s">
        <v>80</v>
      </c>
    </row>
    <row r="4" spans="1:12" ht="14.25">
      <c r="A4" s="281" t="s">
        <v>81</v>
      </c>
      <c r="B4" s="289"/>
      <c r="C4" s="289"/>
      <c r="D4" s="289"/>
      <c r="E4" s="289"/>
      <c r="F4" s="289"/>
      <c r="G4" s="288" t="s">
        <v>223</v>
      </c>
      <c r="H4" s="288"/>
      <c r="I4" s="288"/>
      <c r="J4" s="288"/>
      <c r="K4" s="288"/>
      <c r="L4" s="288"/>
    </row>
    <row r="5" spans="1:12" ht="14.25" customHeight="1">
      <c r="A5" s="278" t="s">
        <v>55</v>
      </c>
      <c r="B5" s="285" t="s">
        <v>188</v>
      </c>
      <c r="C5" s="290" t="s">
        <v>77</v>
      </c>
      <c r="D5" s="290"/>
      <c r="E5" s="290"/>
      <c r="F5" s="290"/>
      <c r="G5" s="279" t="s">
        <v>82</v>
      </c>
      <c r="H5" s="285" t="s">
        <v>189</v>
      </c>
      <c r="I5" s="284" t="s">
        <v>77</v>
      </c>
      <c r="J5" s="284"/>
      <c r="K5" s="284"/>
      <c r="L5" s="284"/>
    </row>
    <row r="6" spans="1:12" ht="23.25" customHeight="1">
      <c r="A6" s="278"/>
      <c r="B6" s="286"/>
      <c r="C6" s="7" t="s">
        <v>224</v>
      </c>
      <c r="D6" s="32" t="s">
        <v>225</v>
      </c>
      <c r="E6" s="7" t="s">
        <v>84</v>
      </c>
      <c r="F6" s="7" t="s">
        <v>72</v>
      </c>
      <c r="G6" s="279"/>
      <c r="H6" s="286"/>
      <c r="I6" s="7" t="s">
        <v>226</v>
      </c>
      <c r="J6" s="32" t="s">
        <v>225</v>
      </c>
      <c r="K6" s="7" t="s">
        <v>84</v>
      </c>
      <c r="L6" s="7" t="s">
        <v>72</v>
      </c>
    </row>
    <row r="7" spans="1:14" ht="14.25">
      <c r="A7" s="54" t="s">
        <v>85</v>
      </c>
      <c r="B7" s="181">
        <f>SUM(B8:B20)</f>
        <v>397050</v>
      </c>
      <c r="C7" s="181">
        <f>SUM(C8:C20)</f>
        <v>448383.48600000003</v>
      </c>
      <c r="D7" s="181">
        <f>SUM(D8:D20)</f>
        <v>472648</v>
      </c>
      <c r="E7" s="182">
        <f aca="true" t="shared" si="0" ref="E7:E22">D7/C7</f>
        <v>1.054115538947391</v>
      </c>
      <c r="F7" s="183">
        <f aca="true" t="shared" si="1" ref="F7:F22">(D7-B7)/B7</f>
        <v>0.1903991940561642</v>
      </c>
      <c r="G7" s="8" t="s">
        <v>86</v>
      </c>
      <c r="H7" s="184">
        <f>'2012全市执行情况表'!I7-56234</f>
        <v>80427</v>
      </c>
      <c r="I7" s="155">
        <v>81453</v>
      </c>
      <c r="J7" s="184">
        <v>98320</v>
      </c>
      <c r="K7" s="157">
        <f>J7/I7</f>
        <v>1.2070764735491633</v>
      </c>
      <c r="L7" s="10">
        <f>(J7-H7)/H7</f>
        <v>0.22247503947679262</v>
      </c>
      <c r="M7" s="82"/>
      <c r="N7" s="82"/>
    </row>
    <row r="8" spans="1:14" ht="14.25">
      <c r="A8" s="31" t="s">
        <v>13</v>
      </c>
      <c r="B8" s="12">
        <f>'2012全市执行情况表'!B8-13146</f>
        <v>23644</v>
      </c>
      <c r="C8" s="30">
        <v>27048.735999999997</v>
      </c>
      <c r="D8" s="12">
        <f>'2012全市执行情况表'!D8-16007</f>
        <v>24377</v>
      </c>
      <c r="E8" s="120">
        <f t="shared" si="0"/>
        <v>0.90122510715473</v>
      </c>
      <c r="F8" s="185">
        <f t="shared" si="1"/>
        <v>0.031001522585010998</v>
      </c>
      <c r="G8" s="8" t="s">
        <v>87</v>
      </c>
      <c r="H8" s="184"/>
      <c r="I8" s="155"/>
      <c r="J8" s="184"/>
      <c r="K8" s="157"/>
      <c r="L8" s="10"/>
      <c r="M8" s="82"/>
      <c r="N8" s="82"/>
    </row>
    <row r="9" spans="1:14" ht="14.25">
      <c r="A9" s="31" t="s">
        <v>14</v>
      </c>
      <c r="B9" s="12">
        <f>'2012全市执行情况表'!B9-48086</f>
        <v>110390</v>
      </c>
      <c r="C9" s="30">
        <v>135227.75</v>
      </c>
      <c r="D9" s="12">
        <f>'2012全市执行情况表'!D9-63685</f>
        <v>112523</v>
      </c>
      <c r="E9" s="120">
        <f t="shared" si="0"/>
        <v>0.832099920319609</v>
      </c>
      <c r="F9" s="185">
        <f t="shared" si="1"/>
        <v>0.01932240239152097</v>
      </c>
      <c r="G9" s="8" t="s">
        <v>88</v>
      </c>
      <c r="H9" s="184">
        <f>'2012全市执行情况表'!I9-1872</f>
        <v>2093</v>
      </c>
      <c r="I9" s="155">
        <v>2215</v>
      </c>
      <c r="J9" s="184">
        <v>3284</v>
      </c>
      <c r="K9" s="157">
        <f aca="true" t="shared" si="2" ref="K9:K19">J9/I9</f>
        <v>1.4826185101580136</v>
      </c>
      <c r="L9" s="10">
        <f aca="true" t="shared" si="3" ref="L9:L23">(J9-H9)/H9</f>
        <v>0.5690396559961778</v>
      </c>
      <c r="M9" s="82"/>
      <c r="N9" s="82"/>
    </row>
    <row r="10" spans="1:14" ht="14.25">
      <c r="A10" s="31" t="s">
        <v>15</v>
      </c>
      <c r="B10" s="12">
        <f>'2012全市执行情况表'!B10-35081</f>
        <v>41615</v>
      </c>
      <c r="C10" s="30">
        <v>52228.8</v>
      </c>
      <c r="D10" s="12">
        <f>'2012全市执行情况表'!D10-30625</f>
        <v>51313</v>
      </c>
      <c r="E10" s="120">
        <f t="shared" si="0"/>
        <v>0.9824656128419569</v>
      </c>
      <c r="F10" s="185">
        <f t="shared" si="1"/>
        <v>0.2330409708037967</v>
      </c>
      <c r="G10" s="8" t="s">
        <v>89</v>
      </c>
      <c r="H10" s="184">
        <f>'2012全市执行情况表'!I10-19597</f>
        <v>70394</v>
      </c>
      <c r="I10" s="155">
        <v>70438</v>
      </c>
      <c r="J10" s="184">
        <v>76631</v>
      </c>
      <c r="K10" s="157">
        <f t="shared" si="2"/>
        <v>1.0879212924841706</v>
      </c>
      <c r="L10" s="10">
        <f t="shared" si="3"/>
        <v>0.0886013012472654</v>
      </c>
      <c r="M10" s="82"/>
      <c r="N10" s="82"/>
    </row>
    <row r="11" spans="1:16" ht="14.25">
      <c r="A11" s="31" t="s">
        <v>16</v>
      </c>
      <c r="B11" s="12">
        <f>'2012全市执行情况表'!B11-9343</f>
        <v>15401</v>
      </c>
      <c r="C11" s="30">
        <v>11629.4</v>
      </c>
      <c r="D11" s="12">
        <f>'2012全市执行情况表'!D11-7455</f>
        <v>11030</v>
      </c>
      <c r="E11" s="120">
        <f t="shared" si="0"/>
        <v>0.9484582179648133</v>
      </c>
      <c r="F11" s="185">
        <f t="shared" si="1"/>
        <v>-0.2838127394325044</v>
      </c>
      <c r="G11" s="8" t="s">
        <v>90</v>
      </c>
      <c r="H11" s="184">
        <f>'2012全市执行情况表'!I11-93682</f>
        <v>82511</v>
      </c>
      <c r="I11" s="155">
        <f>95845+18000</f>
        <v>113845</v>
      </c>
      <c r="J11" s="184">
        <f>110494+1012</f>
        <v>111506</v>
      </c>
      <c r="K11" s="157">
        <f t="shared" si="2"/>
        <v>0.9794545214985287</v>
      </c>
      <c r="L11" s="10">
        <f>(J11-H11)/H11</f>
        <v>0.35140769109573267</v>
      </c>
      <c r="M11" s="96"/>
      <c r="N11" s="96"/>
      <c r="P11" s="82"/>
    </row>
    <row r="12" spans="1:14" ht="14.25">
      <c r="A12" s="31" t="s">
        <v>17</v>
      </c>
      <c r="B12" s="12">
        <f>'2012全市执行情况表'!B12-13586</f>
        <v>24566</v>
      </c>
      <c r="C12" s="30">
        <v>29479.2</v>
      </c>
      <c r="D12" s="12">
        <f>'2012全市执行情况表'!D12-20037</f>
        <v>27952</v>
      </c>
      <c r="E12" s="120">
        <f t="shared" si="0"/>
        <v>0.9481939808407284</v>
      </c>
      <c r="F12" s="185">
        <f t="shared" si="1"/>
        <v>0.13783277700887406</v>
      </c>
      <c r="G12" s="8" t="s">
        <v>91</v>
      </c>
      <c r="H12" s="184">
        <f>'2012全市执行情况表'!I12-2014</f>
        <v>11543</v>
      </c>
      <c r="I12" s="155">
        <v>13471</v>
      </c>
      <c r="J12" s="184">
        <v>13612</v>
      </c>
      <c r="K12" s="157">
        <f t="shared" si="2"/>
        <v>1.0104669289585035</v>
      </c>
      <c r="L12" s="10">
        <f t="shared" si="3"/>
        <v>0.1792428311530798</v>
      </c>
      <c r="M12" s="82"/>
      <c r="N12" s="82"/>
    </row>
    <row r="13" spans="1:14" ht="14.25">
      <c r="A13" s="31" t="s">
        <v>18</v>
      </c>
      <c r="B13" s="12">
        <f>'2012全市执行情况表'!B13</f>
        <v>20289</v>
      </c>
      <c r="C13" s="30">
        <v>23400</v>
      </c>
      <c r="D13" s="12">
        <f>'2012全市执行情况表'!D13</f>
        <v>45561</v>
      </c>
      <c r="E13" s="120">
        <f t="shared" si="0"/>
        <v>1.947051282051282</v>
      </c>
      <c r="F13" s="185">
        <f t="shared" si="1"/>
        <v>1.2456010646162945</v>
      </c>
      <c r="G13" s="8" t="s">
        <v>92</v>
      </c>
      <c r="H13" s="184">
        <f>'2012全市执行情况表'!I13-2789</f>
        <v>18336</v>
      </c>
      <c r="I13" s="155">
        <v>19512</v>
      </c>
      <c r="J13" s="184">
        <f>16442+100</f>
        <v>16542</v>
      </c>
      <c r="K13" s="157">
        <f t="shared" si="2"/>
        <v>0.8477859778597786</v>
      </c>
      <c r="L13" s="10">
        <f t="shared" si="3"/>
        <v>-0.09784031413612565</v>
      </c>
      <c r="M13" s="82"/>
      <c r="N13" s="82"/>
    </row>
    <row r="14" spans="1:14" ht="14.25">
      <c r="A14" s="31" t="s">
        <v>19</v>
      </c>
      <c r="B14" s="12">
        <f>'2012全市执行情况表'!B14</f>
        <v>974</v>
      </c>
      <c r="C14" s="30">
        <v>1100</v>
      </c>
      <c r="D14" s="12">
        <f>'2012全市执行情况表'!D14</f>
        <v>1176</v>
      </c>
      <c r="E14" s="120">
        <f t="shared" si="0"/>
        <v>1.069090909090909</v>
      </c>
      <c r="F14" s="185">
        <f t="shared" si="1"/>
        <v>0.20739219712525667</v>
      </c>
      <c r="G14" s="8" t="s">
        <v>93</v>
      </c>
      <c r="H14" s="184">
        <f>'2012全市执行情况表'!I14-40478</f>
        <v>84108</v>
      </c>
      <c r="I14" s="155">
        <v>85777</v>
      </c>
      <c r="J14" s="184">
        <v>96176</v>
      </c>
      <c r="K14" s="157">
        <f t="shared" si="2"/>
        <v>1.121232964547606</v>
      </c>
      <c r="L14" s="10">
        <f t="shared" si="3"/>
        <v>0.14348218956579636</v>
      </c>
      <c r="M14" s="82"/>
      <c r="N14" s="82"/>
    </row>
    <row r="15" spans="1:14" ht="14.25">
      <c r="A15" s="31" t="s">
        <v>20</v>
      </c>
      <c r="B15" s="12">
        <v>61374</v>
      </c>
      <c r="C15" s="30">
        <v>78500</v>
      </c>
      <c r="D15" s="12">
        <f>'2012全市执行情况表'!D15</f>
        <v>68809</v>
      </c>
      <c r="E15" s="120">
        <f t="shared" si="0"/>
        <v>0.8765477707006369</v>
      </c>
      <c r="F15" s="185">
        <f t="shared" si="1"/>
        <v>0.12114250334017662</v>
      </c>
      <c r="G15" s="8" t="s">
        <v>94</v>
      </c>
      <c r="H15" s="184">
        <f>'2012全市执行情况表'!I15-30272</f>
        <v>45580</v>
      </c>
      <c r="I15" s="155">
        <v>46544</v>
      </c>
      <c r="J15" s="184">
        <v>49875</v>
      </c>
      <c r="K15" s="157">
        <f t="shared" si="2"/>
        <v>1.0715666895840494</v>
      </c>
      <c r="L15" s="10">
        <f t="shared" si="3"/>
        <v>0.09422992540587977</v>
      </c>
      <c r="M15" s="82"/>
      <c r="N15" s="82"/>
    </row>
    <row r="16" spans="1:14" ht="14.25">
      <c r="A16" s="31" t="s">
        <v>21</v>
      </c>
      <c r="B16" s="12">
        <f>'2012全市执行情况表'!B16-12702</f>
        <v>21920</v>
      </c>
      <c r="C16" s="30">
        <v>24769.6</v>
      </c>
      <c r="D16" s="12">
        <f>'2012全市执行情况表'!D16-17069</f>
        <v>24238</v>
      </c>
      <c r="E16" s="120">
        <f t="shared" si="0"/>
        <v>0.9785382081260902</v>
      </c>
      <c r="F16" s="185">
        <f t="shared" si="1"/>
        <v>0.10574817518248175</v>
      </c>
      <c r="G16" s="8" t="s">
        <v>95</v>
      </c>
      <c r="H16" s="184">
        <f>'2012全市执行情况表'!I16-263</f>
        <v>35391</v>
      </c>
      <c r="I16" s="155">
        <f>36139+4000</f>
        <v>40139</v>
      </c>
      <c r="J16" s="184">
        <v>28945</v>
      </c>
      <c r="K16" s="157">
        <f t="shared" si="2"/>
        <v>0.7211191110889659</v>
      </c>
      <c r="L16" s="10">
        <f t="shared" si="3"/>
        <v>-0.18213670142126528</v>
      </c>
      <c r="M16" s="82"/>
      <c r="N16" s="82"/>
    </row>
    <row r="17" spans="1:15" ht="14.25">
      <c r="A17" s="31" t="s">
        <v>22</v>
      </c>
      <c r="B17" s="12">
        <f>'2012全市执行情况表'!B17</f>
        <v>18721</v>
      </c>
      <c r="C17" s="30">
        <v>23000</v>
      </c>
      <c r="D17" s="12">
        <f>'2012全市执行情况表'!D17</f>
        <v>19152</v>
      </c>
      <c r="E17" s="120">
        <f t="shared" si="0"/>
        <v>0.8326956521739131</v>
      </c>
      <c r="F17" s="185">
        <f t="shared" si="1"/>
        <v>0.023022274451151115</v>
      </c>
      <c r="G17" s="8" t="s">
        <v>96</v>
      </c>
      <c r="H17" s="184">
        <f>'2012全市执行情况表'!I17-33767</f>
        <v>70788</v>
      </c>
      <c r="I17" s="155">
        <v>71355</v>
      </c>
      <c r="J17" s="184">
        <f>60623+604</f>
        <v>61227</v>
      </c>
      <c r="K17" s="157">
        <f t="shared" si="2"/>
        <v>0.8580618036577675</v>
      </c>
      <c r="L17" s="10">
        <f t="shared" si="3"/>
        <v>-0.13506526529920326</v>
      </c>
      <c r="M17" s="82"/>
      <c r="N17" s="82"/>
      <c r="O17" s="59"/>
    </row>
    <row r="18" spans="1:16" ht="14.25">
      <c r="A18" s="31" t="s">
        <v>23</v>
      </c>
      <c r="B18" s="12">
        <f>'2012全市执行情况表'!B18</f>
        <v>26301</v>
      </c>
      <c r="C18" s="30">
        <v>29000</v>
      </c>
      <c r="D18" s="12">
        <f>'2012全市执行情况表'!D18</f>
        <v>44248</v>
      </c>
      <c r="E18" s="120">
        <f t="shared" si="0"/>
        <v>1.525793103448276</v>
      </c>
      <c r="F18" s="185">
        <f t="shared" si="1"/>
        <v>0.6823694916543097</v>
      </c>
      <c r="G18" s="8" t="s">
        <v>97</v>
      </c>
      <c r="H18" s="184">
        <f>'2012全市执行情况表'!I18-21907</f>
        <v>58990</v>
      </c>
      <c r="I18" s="155">
        <v>69020</v>
      </c>
      <c r="J18" s="184">
        <v>67737</v>
      </c>
      <c r="K18" s="157">
        <f t="shared" si="2"/>
        <v>0.9814111851637206</v>
      </c>
      <c r="L18" s="10">
        <f>(J18-H18)/H18</f>
        <v>0.14827936938464145</v>
      </c>
      <c r="M18" s="82"/>
      <c r="N18" s="101"/>
      <c r="O18" s="59"/>
      <c r="P18" s="100"/>
    </row>
    <row r="19" spans="1:14" ht="14.25">
      <c r="A19" s="33" t="s">
        <v>24</v>
      </c>
      <c r="B19" s="12">
        <v>10117</v>
      </c>
      <c r="C19" s="30">
        <v>12000</v>
      </c>
      <c r="D19" s="12">
        <f>'2012全市执行情况表'!D19</f>
        <v>15704</v>
      </c>
      <c r="E19" s="120">
        <f t="shared" si="0"/>
        <v>1.3086666666666666</v>
      </c>
      <c r="F19" s="185">
        <f t="shared" si="1"/>
        <v>0.5522388059701493</v>
      </c>
      <c r="G19" s="8" t="s">
        <v>98</v>
      </c>
      <c r="H19" s="184">
        <f>'2012全市执行情况表'!I19-9</f>
        <v>24865</v>
      </c>
      <c r="I19" s="155">
        <f>22990+10000</f>
        <v>32990</v>
      </c>
      <c r="J19" s="184">
        <v>52843</v>
      </c>
      <c r="K19" s="157">
        <f t="shared" si="2"/>
        <v>1.6017884207335555</v>
      </c>
      <c r="L19" s="10">
        <f t="shared" si="3"/>
        <v>1.1251960587170722</v>
      </c>
      <c r="M19" s="82"/>
      <c r="N19" s="82"/>
    </row>
    <row r="20" spans="1:14" ht="14.25">
      <c r="A20" s="31" t="s">
        <v>25</v>
      </c>
      <c r="B20" s="12">
        <f>'2012全市执行情况表'!B20</f>
        <v>21738</v>
      </c>
      <c r="C20" s="30">
        <v>1000</v>
      </c>
      <c r="D20" s="12">
        <f>'2012全市执行情况表'!D20</f>
        <v>26565</v>
      </c>
      <c r="E20" s="120">
        <f t="shared" si="0"/>
        <v>26.565</v>
      </c>
      <c r="F20" s="185">
        <f t="shared" si="1"/>
        <v>0.2220535467844328</v>
      </c>
      <c r="G20" s="8" t="s">
        <v>67</v>
      </c>
      <c r="H20" s="184">
        <f>'2012全市执行情况表'!I20-470</f>
        <v>17293</v>
      </c>
      <c r="I20" s="155">
        <v>17479</v>
      </c>
      <c r="J20" s="184">
        <v>24824</v>
      </c>
      <c r="K20" s="157">
        <f aca="true" t="shared" si="4" ref="K20:K25">J20/I20</f>
        <v>1.4202185479718519</v>
      </c>
      <c r="L20" s="10">
        <f t="shared" si="3"/>
        <v>0.43549413057306424</v>
      </c>
      <c r="M20" s="82"/>
      <c r="N20" s="82"/>
    </row>
    <row r="21" spans="1:14" ht="14.25">
      <c r="A21" s="129" t="s">
        <v>99</v>
      </c>
      <c r="B21" s="186">
        <f>SUM(B22:B27)</f>
        <v>71079</v>
      </c>
      <c r="C21" s="186">
        <f>SUM(C22:C27)</f>
        <v>90128</v>
      </c>
      <c r="D21" s="186">
        <f>SUM(D22:D27)</f>
        <v>93887</v>
      </c>
      <c r="E21" s="182">
        <f t="shared" si="0"/>
        <v>1.0417073495473106</v>
      </c>
      <c r="F21" s="187">
        <f t="shared" si="1"/>
        <v>0.3208823984580537</v>
      </c>
      <c r="G21" s="8" t="s">
        <v>100</v>
      </c>
      <c r="H21" s="184">
        <f>'2012全市执行情况表'!I21-3968</f>
        <v>15209</v>
      </c>
      <c r="I21" s="155">
        <v>16292</v>
      </c>
      <c r="J21" s="184">
        <v>15276</v>
      </c>
      <c r="K21" s="157">
        <f t="shared" si="4"/>
        <v>0.9376381045912104</v>
      </c>
      <c r="L21" s="10">
        <f t="shared" si="3"/>
        <v>0.004405286343612335</v>
      </c>
      <c r="M21" s="82"/>
      <c r="N21" s="82"/>
    </row>
    <row r="22" spans="1:14" ht="14.25">
      <c r="A22" s="31" t="s">
        <v>26</v>
      </c>
      <c r="B22" s="12">
        <f>'2012全市执行情况表'!B22-9</f>
        <v>26753</v>
      </c>
      <c r="C22" s="12">
        <v>34300</v>
      </c>
      <c r="D22" s="12">
        <f>'2012全市执行情况表'!D22-14</f>
        <v>30125</v>
      </c>
      <c r="E22" s="120">
        <f t="shared" si="0"/>
        <v>0.8782798833819242</v>
      </c>
      <c r="F22" s="14">
        <f t="shared" si="1"/>
        <v>0.1260419392217695</v>
      </c>
      <c r="G22" s="8" t="s">
        <v>68</v>
      </c>
      <c r="H22" s="184">
        <f>'2012全市执行情况表'!I22-110</f>
        <v>5713</v>
      </c>
      <c r="I22" s="155">
        <v>6109</v>
      </c>
      <c r="J22" s="184">
        <f>5833-100</f>
        <v>5733</v>
      </c>
      <c r="K22" s="157">
        <f t="shared" si="4"/>
        <v>0.9384514650515633</v>
      </c>
      <c r="L22" s="10">
        <f t="shared" si="3"/>
        <v>0.003500787677227376</v>
      </c>
      <c r="M22" s="82"/>
      <c r="N22" s="82"/>
    </row>
    <row r="23" spans="1:14" ht="14.25">
      <c r="A23" s="31" t="s">
        <v>60</v>
      </c>
      <c r="B23" s="12">
        <f>'2012全市执行情况表'!B23-4432</f>
        <v>18943</v>
      </c>
      <c r="C23" s="12">
        <v>26268</v>
      </c>
      <c r="D23" s="12">
        <f>'2012全市执行情况表'!D23-4066</f>
        <v>32067</v>
      </c>
      <c r="E23" s="120">
        <f aca="true" t="shared" si="5" ref="E23:E29">D23/C23</f>
        <v>1.2207629054362723</v>
      </c>
      <c r="F23" s="14">
        <f>(D23-B23)/B23</f>
        <v>0.6928152879691707</v>
      </c>
      <c r="G23" s="8" t="s">
        <v>69</v>
      </c>
      <c r="H23" s="184">
        <f>'2012全市执行情况表'!I23-14229</f>
        <v>28121</v>
      </c>
      <c r="I23" s="155">
        <v>18358</v>
      </c>
      <c r="J23" s="184">
        <f>25172+630</f>
        <v>25802</v>
      </c>
      <c r="K23" s="157">
        <f t="shared" si="4"/>
        <v>1.4054907942041617</v>
      </c>
      <c r="L23" s="10">
        <f t="shared" si="3"/>
        <v>-0.08246506169766367</v>
      </c>
      <c r="M23" s="82"/>
      <c r="N23" s="82"/>
    </row>
    <row r="24" spans="1:14" ht="14.25">
      <c r="A24" s="33" t="s">
        <v>61</v>
      </c>
      <c r="B24" s="12">
        <f>'2012全市执行情况表'!B24-1647</f>
        <v>14554</v>
      </c>
      <c r="C24" s="12">
        <v>20500</v>
      </c>
      <c r="D24" s="12">
        <f>'2012全市执行情况表'!D24-3878</f>
        <v>20927</v>
      </c>
      <c r="E24" s="120">
        <f t="shared" si="5"/>
        <v>1.020829268292683</v>
      </c>
      <c r="F24" s="14">
        <f>(D24-B24)/B24</f>
        <v>0.4378864916861344</v>
      </c>
      <c r="G24" s="8" t="s">
        <v>276</v>
      </c>
      <c r="H24" s="184">
        <f>'2012全市执行情况表'!I24-27</f>
        <v>5221</v>
      </c>
      <c r="I24" s="155">
        <v>4105</v>
      </c>
      <c r="J24" s="184">
        <v>3592</v>
      </c>
      <c r="K24" s="157">
        <f t="shared" si="4"/>
        <v>0.8750304506699147</v>
      </c>
      <c r="L24" s="10">
        <f>(J24-H24)/H24</f>
        <v>-0.31200919364106494</v>
      </c>
      <c r="M24" s="82"/>
      <c r="N24" s="82"/>
    </row>
    <row r="25" spans="1:14" ht="14.25">
      <c r="A25" s="11" t="s">
        <v>64</v>
      </c>
      <c r="B25" s="12">
        <v>2553</v>
      </c>
      <c r="C25" s="12"/>
      <c r="D25" s="12"/>
      <c r="E25" s="120"/>
      <c r="F25" s="14">
        <f>(D25-B25)/B25</f>
        <v>-1</v>
      </c>
      <c r="G25" s="8" t="s">
        <v>70</v>
      </c>
      <c r="H25" s="184">
        <f>SUM(H26:H28)</f>
        <v>14507</v>
      </c>
      <c r="I25" s="155">
        <v>19989</v>
      </c>
      <c r="J25" s="184">
        <f>SUM(J26:J27)</f>
        <v>9791</v>
      </c>
      <c r="K25" s="157">
        <f t="shared" si="4"/>
        <v>0.4898194006703687</v>
      </c>
      <c r="L25" s="10">
        <f>(J25-H25)/H25</f>
        <v>-0.3250844419935204</v>
      </c>
      <c r="M25" s="82"/>
      <c r="N25" s="82"/>
    </row>
    <row r="26" spans="1:14" ht="14.25">
      <c r="A26" s="49" t="s">
        <v>62</v>
      </c>
      <c r="B26" s="12">
        <f>'2012全市执行情况表'!B26-2192</f>
        <v>8272</v>
      </c>
      <c r="C26" s="12">
        <v>9000</v>
      </c>
      <c r="D26" s="12">
        <f>'2012全市执行情况表'!D26-1898</f>
        <v>10034</v>
      </c>
      <c r="E26" s="120">
        <f t="shared" si="5"/>
        <v>1.1148888888888888</v>
      </c>
      <c r="F26" s="14">
        <f>(D26-B26)/B26</f>
        <v>0.21300773694390715</v>
      </c>
      <c r="G26" s="17" t="s">
        <v>101</v>
      </c>
      <c r="H26" s="34"/>
      <c r="I26" s="155">
        <v>15000</v>
      </c>
      <c r="J26" s="34"/>
      <c r="K26" s="157"/>
      <c r="L26" s="10"/>
      <c r="M26" s="82"/>
      <c r="N26" s="82"/>
    </row>
    <row r="27" spans="1:14" ht="14.25">
      <c r="A27" s="18" t="s">
        <v>63</v>
      </c>
      <c r="B27" s="12">
        <f>'2012全市执行情况表'!B27-965</f>
        <v>4</v>
      </c>
      <c r="C27" s="12">
        <v>60</v>
      </c>
      <c r="D27" s="12">
        <f>'2012全市执行情况表'!D27-413</f>
        <v>734</v>
      </c>
      <c r="E27" s="120">
        <f t="shared" si="5"/>
        <v>12.233333333333333</v>
      </c>
      <c r="F27" s="14">
        <f>(D27-B27)/B27</f>
        <v>182.5</v>
      </c>
      <c r="G27" s="17" t="s">
        <v>131</v>
      </c>
      <c r="H27" s="34">
        <v>14507</v>
      </c>
      <c r="I27" s="161">
        <v>4989</v>
      </c>
      <c r="J27" s="34">
        <f>9291+500</f>
        <v>9791</v>
      </c>
      <c r="K27" s="9">
        <f>J27/I27</f>
        <v>1.9625175385848868</v>
      </c>
      <c r="L27" s="10">
        <f>(J27-H27)/H27</f>
        <v>-0.3250844419935204</v>
      </c>
      <c r="M27" s="82"/>
      <c r="N27" s="82"/>
    </row>
    <row r="28" spans="1:14" ht="14.25">
      <c r="A28" s="18"/>
      <c r="B28" s="12"/>
      <c r="C28" s="12"/>
      <c r="D28" s="12"/>
      <c r="E28" s="120"/>
      <c r="F28" s="14"/>
      <c r="G28" s="17"/>
      <c r="H28" s="34"/>
      <c r="I28" s="161"/>
      <c r="J28" s="34"/>
      <c r="K28" s="9"/>
      <c r="L28" s="10"/>
      <c r="M28" s="82"/>
      <c r="N28" s="82"/>
    </row>
    <row r="29" spans="1:15" ht="14.25">
      <c r="A29" s="55" t="s">
        <v>209</v>
      </c>
      <c r="B29" s="74">
        <f>B7+B21+2</f>
        <v>468131</v>
      </c>
      <c r="C29" s="74">
        <f>C7+C21+1</f>
        <v>538512.486</v>
      </c>
      <c r="D29" s="74">
        <f>D7+D21+2</f>
        <v>566537</v>
      </c>
      <c r="E29" s="87">
        <f t="shared" si="5"/>
        <v>1.0520406020817872</v>
      </c>
      <c r="F29" s="87">
        <f>(D29-B29)/B29</f>
        <v>0.21021038982677925</v>
      </c>
      <c r="G29" s="60" t="s">
        <v>211</v>
      </c>
      <c r="H29" s="74">
        <f>SUM(H7:H25)</f>
        <v>671090</v>
      </c>
      <c r="I29" s="74">
        <f>SUM(I7:I25)+1</f>
        <v>729092</v>
      </c>
      <c r="J29" s="74">
        <f>SUM(J7:J25)</f>
        <v>761716</v>
      </c>
      <c r="K29" s="87">
        <f>J29/I29</f>
        <v>1.0447460677116194</v>
      </c>
      <c r="L29" s="87">
        <f>(J29-H29)/H29</f>
        <v>0.135042989762923</v>
      </c>
      <c r="M29" s="85"/>
      <c r="N29" s="82"/>
      <c r="O29" s="59"/>
    </row>
    <row r="30" spans="1:12" ht="14.25">
      <c r="A30" s="55"/>
      <c r="B30" s="74"/>
      <c r="C30" s="74"/>
      <c r="D30" s="74"/>
      <c r="E30" s="87"/>
      <c r="F30" s="87"/>
      <c r="G30" s="57"/>
      <c r="H30" s="74"/>
      <c r="I30" s="74"/>
      <c r="J30" s="74"/>
      <c r="K30" s="87"/>
      <c r="L30" s="87"/>
    </row>
    <row r="31" spans="1:12" ht="14.25">
      <c r="A31" s="88" t="s">
        <v>3</v>
      </c>
      <c r="B31" s="74">
        <f>B32+B36+B37+B40+B44</f>
        <v>560305</v>
      </c>
      <c r="C31" s="74">
        <f>C32+C36+C37+C40+C44</f>
        <v>533556</v>
      </c>
      <c r="D31" s="74">
        <f>D32+D36+D37+D40+D44</f>
        <v>650665</v>
      </c>
      <c r="E31" s="188">
        <f aca="true" t="shared" si="6" ref="E31:E39">D31/C31</f>
        <v>1.2194877388690222</v>
      </c>
      <c r="F31" s="189">
        <f aca="true" t="shared" si="7" ref="F31:F39">(D31-B31)/B31</f>
        <v>0.16126930868009387</v>
      </c>
      <c r="G31" s="86" t="s">
        <v>185</v>
      </c>
      <c r="H31" s="74">
        <f>H32+H37+H39+H41+H40</f>
        <v>320477</v>
      </c>
      <c r="I31" s="74">
        <f>I32+I37+I38+I39+I41</f>
        <v>342776</v>
      </c>
      <c r="J31" s="74">
        <f>J32+J37+J39+J41+J40</f>
        <v>396317</v>
      </c>
      <c r="K31" s="87">
        <f>J31/I31</f>
        <v>1.1561982169113356</v>
      </c>
      <c r="L31" s="87">
        <f>(J31-H31)/H31</f>
        <v>0.23664724769640255</v>
      </c>
    </row>
    <row r="32" spans="1:14" ht="14.25">
      <c r="A32" s="31" t="s">
        <v>36</v>
      </c>
      <c r="B32" s="30">
        <f>370379</f>
        <v>370379</v>
      </c>
      <c r="C32" s="30">
        <v>371006</v>
      </c>
      <c r="D32" s="30">
        <f>SUM(D33:D35)</f>
        <v>445308</v>
      </c>
      <c r="E32" s="120">
        <f t="shared" si="6"/>
        <v>1.200271693719239</v>
      </c>
      <c r="F32" s="14">
        <f t="shared" si="7"/>
        <v>0.2023035863264386</v>
      </c>
      <c r="G32" s="30" t="s">
        <v>33</v>
      </c>
      <c r="H32" s="34">
        <f>SUM(H33:H36)</f>
        <v>277409</v>
      </c>
      <c r="I32" s="34">
        <v>290776</v>
      </c>
      <c r="J32" s="34">
        <f>SUM(J33:J35)</f>
        <v>293124</v>
      </c>
      <c r="K32" s="9">
        <f>J32/I32</f>
        <v>1.0080749442870114</v>
      </c>
      <c r="L32" s="9">
        <f>(J32-H32)/H32</f>
        <v>0.056649207487860884</v>
      </c>
      <c r="N32" s="96"/>
    </row>
    <row r="33" spans="1:14" ht="14.25">
      <c r="A33" s="11" t="s">
        <v>38</v>
      </c>
      <c r="B33" s="30">
        <f>47842+13046</f>
        <v>60888</v>
      </c>
      <c r="C33" s="30">
        <v>62502</v>
      </c>
      <c r="D33" s="30">
        <f>'2012全市执行情况表'!D33</f>
        <v>49197</v>
      </c>
      <c r="E33" s="120">
        <f t="shared" si="6"/>
        <v>0.7871268119420178</v>
      </c>
      <c r="F33" s="14">
        <f t="shared" si="7"/>
        <v>-0.1920082774931021</v>
      </c>
      <c r="G33" s="126" t="s">
        <v>28</v>
      </c>
      <c r="H33" s="34">
        <f>31536</f>
        <v>31536</v>
      </c>
      <c r="I33" s="34">
        <v>38126</v>
      </c>
      <c r="J33" s="34">
        <f>33159+5137</f>
        <v>38296</v>
      </c>
      <c r="K33" s="9">
        <f>J33/I33</f>
        <v>1.0044588994387031</v>
      </c>
      <c r="L33" s="9">
        <f>(J33-H33)/H33</f>
        <v>0.2143581938102486</v>
      </c>
      <c r="N33" s="96"/>
    </row>
    <row r="34" spans="1:14" ht="14.25">
      <c r="A34" s="15" t="s">
        <v>37</v>
      </c>
      <c r="B34" s="30">
        <f>B32-B33-B35</f>
        <v>71877</v>
      </c>
      <c r="C34" s="30">
        <v>90439</v>
      </c>
      <c r="D34" s="30">
        <f>'2012全市执行情况表'!D34</f>
        <v>98102</v>
      </c>
      <c r="E34" s="120">
        <f t="shared" si="6"/>
        <v>1.0847311447494996</v>
      </c>
      <c r="F34" s="14">
        <f t="shared" si="7"/>
        <v>0.3648594126076492</v>
      </c>
      <c r="G34" s="126" t="s">
        <v>29</v>
      </c>
      <c r="H34" s="34">
        <f>196734-2090</f>
        <v>194644</v>
      </c>
      <c r="I34" s="34">
        <v>187688</v>
      </c>
      <c r="J34" s="34">
        <f>177226+5000</f>
        <v>182226</v>
      </c>
      <c r="K34" s="9">
        <f>J34/I34</f>
        <v>0.9708985124248753</v>
      </c>
      <c r="L34" s="9">
        <f>(J34-H34)/H34</f>
        <v>-0.06379852448572779</v>
      </c>
      <c r="N34" s="96"/>
    </row>
    <row r="35" spans="1:14" ht="14.25">
      <c r="A35" s="11" t="s">
        <v>39</v>
      </c>
      <c r="B35" s="30">
        <v>237614</v>
      </c>
      <c r="C35" s="30">
        <v>218065</v>
      </c>
      <c r="D35" s="30">
        <f>'2012全市执行情况表'!D35</f>
        <v>298009</v>
      </c>
      <c r="E35" s="120">
        <f t="shared" si="6"/>
        <v>1.3666062871162268</v>
      </c>
      <c r="F35" s="14">
        <f t="shared" si="7"/>
        <v>0.25417273392981893</v>
      </c>
      <c r="G35" s="126" t="s">
        <v>30</v>
      </c>
      <c r="H35" s="34">
        <f>51969-740</f>
        <v>51229</v>
      </c>
      <c r="I35" s="34">
        <v>64962</v>
      </c>
      <c r="J35" s="34">
        <v>72602</v>
      </c>
      <c r="K35" s="9">
        <f>J35/I35</f>
        <v>1.1176072165265847</v>
      </c>
      <c r="L35" s="9">
        <f>(J35-H35)/H35</f>
        <v>0.41720509867457883</v>
      </c>
      <c r="N35" s="96"/>
    </row>
    <row r="36" spans="1:14" ht="14.25">
      <c r="A36" s="11" t="s">
        <v>40</v>
      </c>
      <c r="B36" s="30">
        <v>15000</v>
      </c>
      <c r="C36" s="30">
        <v>32000</v>
      </c>
      <c r="D36" s="30">
        <f>'2012全市执行情况表'!D36</f>
        <v>32000</v>
      </c>
      <c r="E36" s="120">
        <f t="shared" si="6"/>
        <v>1</v>
      </c>
      <c r="F36" s="14">
        <f t="shared" si="7"/>
        <v>1.1333333333333333</v>
      </c>
      <c r="G36" s="126" t="s">
        <v>184</v>
      </c>
      <c r="H36" s="34"/>
      <c r="I36" s="34"/>
      <c r="J36" s="34"/>
      <c r="K36" s="9"/>
      <c r="L36" s="9"/>
      <c r="N36" s="96"/>
    </row>
    <row r="37" spans="1:14" ht="14.25">
      <c r="A37" s="11" t="s">
        <v>283</v>
      </c>
      <c r="B37" s="30">
        <f>SUM(B38:B39)</f>
        <v>39655</v>
      </c>
      <c r="C37" s="30">
        <v>36869</v>
      </c>
      <c r="D37" s="30">
        <f>SUM(D38:D39)</f>
        <v>37581</v>
      </c>
      <c r="E37" s="120">
        <f t="shared" si="6"/>
        <v>1.0193116168054464</v>
      </c>
      <c r="F37" s="14">
        <f t="shared" si="7"/>
        <v>-0.052301096961291135</v>
      </c>
      <c r="G37" s="90" t="s">
        <v>34</v>
      </c>
      <c r="H37" s="91">
        <f>'2012全市执行情况表'!I37</f>
        <v>33925</v>
      </c>
      <c r="I37" s="91">
        <v>33000</v>
      </c>
      <c r="J37" s="91">
        <f>'2012全市执行情况表'!K37</f>
        <v>49553</v>
      </c>
      <c r="K37" s="9">
        <f>J37/I37</f>
        <v>1.5016060606060606</v>
      </c>
      <c r="L37" s="92">
        <f>(J37-H37)/H37</f>
        <v>0.4606632277081798</v>
      </c>
      <c r="N37" s="96"/>
    </row>
    <row r="38" spans="1:14" ht="14.25">
      <c r="A38" s="37" t="s">
        <v>284</v>
      </c>
      <c r="B38" s="30">
        <f>39645-90</f>
        <v>39555</v>
      </c>
      <c r="C38" s="30">
        <v>36679</v>
      </c>
      <c r="D38" s="30">
        <f>'2012全市执行情况表'!D38</f>
        <v>37266</v>
      </c>
      <c r="E38" s="120">
        <f t="shared" si="6"/>
        <v>1.0160037078437254</v>
      </c>
      <c r="F38" s="14">
        <f t="shared" si="7"/>
        <v>-0.057868790291998484</v>
      </c>
      <c r="G38" s="30" t="s">
        <v>52</v>
      </c>
      <c r="H38" s="91"/>
      <c r="I38" s="91">
        <v>7000</v>
      </c>
      <c r="J38" s="91"/>
      <c r="K38" s="9"/>
      <c r="L38" s="92"/>
      <c r="N38" s="96"/>
    </row>
    <row r="39" spans="1:14" ht="14.25">
      <c r="A39" s="37" t="s">
        <v>285</v>
      </c>
      <c r="B39" s="30">
        <v>100</v>
      </c>
      <c r="C39" s="30">
        <v>190</v>
      </c>
      <c r="D39" s="30">
        <v>315</v>
      </c>
      <c r="E39" s="120">
        <f t="shared" si="6"/>
        <v>1.6578947368421053</v>
      </c>
      <c r="F39" s="14">
        <f t="shared" si="7"/>
        <v>2.15</v>
      </c>
      <c r="G39" s="30" t="s">
        <v>287</v>
      </c>
      <c r="H39" s="34">
        <f>'2012全市执行情况表'!I39</f>
        <v>9143</v>
      </c>
      <c r="I39" s="34">
        <v>12000</v>
      </c>
      <c r="J39" s="34">
        <f>'2012全市执行情况表'!K39</f>
        <v>10290</v>
      </c>
      <c r="K39" s="9">
        <f>J39/I39</f>
        <v>0.8575</v>
      </c>
      <c r="L39" s="92">
        <f>(J39-H39)/H39</f>
        <v>0.1254511648255496</v>
      </c>
      <c r="N39" s="96"/>
    </row>
    <row r="40" spans="1:12" ht="14.25">
      <c r="A40" s="31" t="s">
        <v>227</v>
      </c>
      <c r="B40" s="30">
        <f>SUM(B41:B43)</f>
        <v>51999</v>
      </c>
      <c r="C40" s="30"/>
      <c r="D40" s="30">
        <f>SUM(D41:D43)</f>
        <v>49966</v>
      </c>
      <c r="E40" s="120"/>
      <c r="F40" s="14"/>
      <c r="G40" s="38" t="s">
        <v>75</v>
      </c>
      <c r="H40" s="162"/>
      <c r="I40" s="113"/>
      <c r="J40" s="114"/>
      <c r="K40" s="113"/>
      <c r="L40" s="190"/>
    </row>
    <row r="41" spans="1:12" ht="14.25">
      <c r="A41" s="31" t="s">
        <v>228</v>
      </c>
      <c r="B41" s="30"/>
      <c r="C41" s="30"/>
      <c r="D41" s="30"/>
      <c r="E41" s="120"/>
      <c r="F41" s="14"/>
      <c r="G41" s="38" t="s">
        <v>191</v>
      </c>
      <c r="H41" s="34"/>
      <c r="I41" s="34"/>
      <c r="J41" s="34">
        <f>'2012全市执行情况表'!K41</f>
        <v>43350</v>
      </c>
      <c r="K41" s="9"/>
      <c r="L41" s="10"/>
    </row>
    <row r="42" spans="1:12" ht="14.25">
      <c r="A42" s="33" t="s">
        <v>229</v>
      </c>
      <c r="B42" s="30">
        <f>'2012全市执行情况表'!B41</f>
        <v>51999</v>
      </c>
      <c r="C42" s="30"/>
      <c r="D42" s="30">
        <f>'2012全市执行情况表'!D41</f>
        <v>43350</v>
      </c>
      <c r="E42" s="120"/>
      <c r="F42" s="14"/>
      <c r="G42" s="38"/>
      <c r="H42" s="34"/>
      <c r="I42" s="71"/>
      <c r="J42" s="34"/>
      <c r="K42" s="9"/>
      <c r="L42" s="10"/>
    </row>
    <row r="43" spans="1:12" ht="14.25">
      <c r="A43" s="15" t="s">
        <v>42</v>
      </c>
      <c r="B43" s="30"/>
      <c r="C43" s="30"/>
      <c r="D43" s="30">
        <f>'2012全市执行情况表'!D43</f>
        <v>6616</v>
      </c>
      <c r="E43" s="120"/>
      <c r="F43" s="14"/>
      <c r="G43" s="38"/>
      <c r="H43" s="34"/>
      <c r="I43" s="34"/>
      <c r="J43" s="34"/>
      <c r="K43" s="9"/>
      <c r="L43" s="92"/>
    </row>
    <row r="44" spans="1:12" ht="14.25">
      <c r="A44" s="31" t="s">
        <v>50</v>
      </c>
      <c r="B44" s="30">
        <v>83272</v>
      </c>
      <c r="C44" s="30">
        <v>93681</v>
      </c>
      <c r="D44" s="30">
        <v>85810</v>
      </c>
      <c r="E44" s="120"/>
      <c r="F44" s="14"/>
      <c r="G44" s="16"/>
      <c r="H44" s="34"/>
      <c r="I44" s="34"/>
      <c r="J44" s="34"/>
      <c r="K44" s="19"/>
      <c r="L44" s="10"/>
    </row>
    <row r="45" spans="1:12" ht="14.25">
      <c r="A45" s="31"/>
      <c r="B45" s="30"/>
      <c r="C45" s="30"/>
      <c r="D45" s="30"/>
      <c r="E45" s="120"/>
      <c r="F45" s="14"/>
      <c r="G45" s="16"/>
      <c r="H45" s="34"/>
      <c r="I45" s="34"/>
      <c r="J45" s="34"/>
      <c r="K45" s="19"/>
      <c r="L45" s="10"/>
    </row>
    <row r="46" spans="1:12" ht="14.25">
      <c r="A46" s="55" t="s">
        <v>210</v>
      </c>
      <c r="B46" s="74">
        <f>B29+B31</f>
        <v>1028436</v>
      </c>
      <c r="C46" s="74">
        <f>C29+C31</f>
        <v>1072068.486</v>
      </c>
      <c r="D46" s="74">
        <f>D29+D31</f>
        <v>1217202</v>
      </c>
      <c r="E46" s="87">
        <f>D46/C46</f>
        <v>1.1353770919444786</v>
      </c>
      <c r="F46" s="87">
        <f>(D46-B46)/B46</f>
        <v>0.18354666697781874</v>
      </c>
      <c r="G46" s="55" t="s">
        <v>212</v>
      </c>
      <c r="H46" s="74">
        <f>H29+H31-H36-H44</f>
        <v>991567</v>
      </c>
      <c r="I46" s="74">
        <f>I29+I31-I36-I44</f>
        <v>1071868</v>
      </c>
      <c r="J46" s="74">
        <f>J29+J31</f>
        <v>1158033</v>
      </c>
      <c r="K46" s="87">
        <f>J46/I46</f>
        <v>1.0803876969925401</v>
      </c>
      <c r="L46" s="87">
        <f>(J46-H46)/H46</f>
        <v>0.16788174677051576</v>
      </c>
    </row>
    <row r="47" spans="1:12" ht="14.25">
      <c r="A47" s="31"/>
      <c r="B47" s="30"/>
      <c r="C47" s="30"/>
      <c r="D47" s="30"/>
      <c r="E47" s="120"/>
      <c r="F47" s="14"/>
      <c r="G47" s="16"/>
      <c r="H47" s="34"/>
      <c r="I47" s="34"/>
      <c r="J47" s="34"/>
      <c r="K47" s="19"/>
      <c r="L47" s="10"/>
    </row>
    <row r="48" spans="1:12" ht="14.25">
      <c r="A48" s="55"/>
      <c r="B48" s="74"/>
      <c r="C48" s="74"/>
      <c r="D48" s="74"/>
      <c r="E48" s="87"/>
      <c r="F48" s="87"/>
      <c r="G48" s="123" t="s">
        <v>230</v>
      </c>
      <c r="H48" s="74">
        <f>SUM(H49:H50)</f>
        <v>36869</v>
      </c>
      <c r="I48" s="74">
        <f>SUM(I49:I50)</f>
        <v>200</v>
      </c>
      <c r="J48" s="74">
        <f>SUM(J49:J50)</f>
        <v>59169</v>
      </c>
      <c r="K48" s="87"/>
      <c r="L48" s="87"/>
    </row>
    <row r="49" spans="1:12" ht="14.25">
      <c r="A49" s="31"/>
      <c r="B49" s="30"/>
      <c r="C49" s="30"/>
      <c r="D49" s="30"/>
      <c r="E49" s="120"/>
      <c r="F49" s="14"/>
      <c r="G49" s="16" t="s">
        <v>281</v>
      </c>
      <c r="H49" s="34">
        <f>'2012全市执行情况表'!I48</f>
        <v>36679</v>
      </c>
      <c r="I49" s="34"/>
      <c r="J49" s="34">
        <f>'2012全市执行情况表'!K48</f>
        <v>57219</v>
      </c>
      <c r="K49" s="19"/>
      <c r="L49" s="10"/>
    </row>
    <row r="50" spans="1:12" ht="14.25">
      <c r="A50" s="31"/>
      <c r="B50" s="30"/>
      <c r="C50" s="30"/>
      <c r="D50" s="30"/>
      <c r="E50" s="120"/>
      <c r="F50" s="14"/>
      <c r="G50" s="16" t="s">
        <v>282</v>
      </c>
      <c r="H50" s="34">
        <f>190</f>
        <v>190</v>
      </c>
      <c r="I50" s="34">
        <v>200</v>
      </c>
      <c r="J50" s="34">
        <v>1950</v>
      </c>
      <c r="K50" s="19"/>
      <c r="L50" s="10"/>
    </row>
    <row r="51" spans="1:13" ht="15" customHeight="1">
      <c r="A51" s="275"/>
      <c r="B51" s="275"/>
      <c r="C51" s="275"/>
      <c r="D51" s="275"/>
      <c r="E51" s="275"/>
      <c r="F51" s="275"/>
      <c r="G51" s="275"/>
      <c r="H51" s="275"/>
      <c r="I51" s="275"/>
      <c r="J51" s="275"/>
      <c r="K51" s="275"/>
      <c r="L51" s="275"/>
      <c r="M51" s="106"/>
    </row>
    <row r="52" spans="1:13" ht="14.25">
      <c r="A52" s="287"/>
      <c r="B52" s="287"/>
      <c r="C52" s="287"/>
      <c r="D52" s="287"/>
      <c r="E52" s="287"/>
      <c r="F52" s="287"/>
      <c r="G52" s="287"/>
      <c r="H52" s="287"/>
      <c r="I52" s="287"/>
      <c r="J52" s="287"/>
      <c r="K52" s="287"/>
      <c r="L52" s="287"/>
      <c r="M52" s="106"/>
    </row>
    <row r="53" spans="1:13" ht="14.25">
      <c r="A53" s="107"/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6"/>
    </row>
    <row r="54" spans="2:10" ht="14.25">
      <c r="B54" s="59"/>
      <c r="C54" s="59"/>
      <c r="D54" s="59"/>
      <c r="I54" s="59"/>
      <c r="J54" s="59"/>
    </row>
    <row r="55" spans="4:10" ht="14.25">
      <c r="D55" s="59"/>
      <c r="I55" s="59"/>
      <c r="J55" s="67"/>
    </row>
    <row r="56" spans="3:5" ht="14.25">
      <c r="C56" s="76"/>
      <c r="D56" s="102"/>
      <c r="E56" s="59"/>
    </row>
    <row r="57" ht="14.25">
      <c r="D57" s="59"/>
    </row>
    <row r="58" ht="14.25">
      <c r="B58" s="59"/>
    </row>
    <row r="59" ht="14.25">
      <c r="D59" s="59"/>
    </row>
  </sheetData>
  <mergeCells count="10">
    <mergeCell ref="A51:L52"/>
    <mergeCell ref="H5:H6"/>
    <mergeCell ref="A2:L2"/>
    <mergeCell ref="I5:L5"/>
    <mergeCell ref="G4:L4"/>
    <mergeCell ref="G5:G6"/>
    <mergeCell ref="A5:A6"/>
    <mergeCell ref="B5:B6"/>
    <mergeCell ref="A4:F4"/>
    <mergeCell ref="C5:F5"/>
  </mergeCells>
  <printOptions horizontalCentered="1" verticalCentered="1"/>
  <pageMargins left="0.4330708661417323" right="0.3937007874015748" top="0.1968503937007874" bottom="0.1968503937007874" header="0.15748031496062992" footer="0.2362204724409449"/>
  <pageSetup horizontalDpi="600" verticalDpi="600" orientation="landscape" paperSize="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Z128"/>
  <sheetViews>
    <sheetView zoomScale="80" zoomScaleNormal="80" zoomScaleSheetLayoutView="100" workbookViewId="0" topLeftCell="A1">
      <pane xSplit="1" ySplit="8" topLeftCell="B9" activePane="bottomRight" state="frozen"/>
      <selection pane="topLeft" activeCell="J52" sqref="J52"/>
      <selection pane="topRight" activeCell="J52" sqref="J52"/>
      <selection pane="bottomLeft" activeCell="J52" sqref="J52"/>
      <selection pane="bottomRight" activeCell="I9" sqref="I9"/>
    </sheetView>
  </sheetViews>
  <sheetFormatPr defaultColWidth="9.00390625" defaultRowHeight="18" customHeight="1"/>
  <cols>
    <col min="1" max="1" width="38.00390625" style="79" customWidth="1"/>
    <col min="2" max="2" width="13.50390625" style="79" customWidth="1"/>
    <col min="3" max="3" width="14.125" style="79" customWidth="1"/>
    <col min="4" max="4" width="14.375" style="79" customWidth="1"/>
    <col min="5" max="7" width="12.375" style="79" customWidth="1"/>
    <col min="8" max="8" width="13.75390625" style="79" customWidth="1"/>
    <col min="9" max="10" width="12.375" style="79" customWidth="1"/>
    <col min="11" max="11" width="11.00390625" style="79" bestFit="1" customWidth="1"/>
    <col min="12" max="16384" width="9.00390625" style="79" customWidth="1"/>
  </cols>
  <sheetData>
    <row r="1" spans="1:9" s="25" customFormat="1" ht="18" customHeight="1">
      <c r="A1" s="25" t="s">
        <v>105</v>
      </c>
      <c r="B1" s="29"/>
      <c r="H1" s="29"/>
      <c r="I1" s="97"/>
    </row>
    <row r="2" spans="2:9" s="25" customFormat="1" ht="18" customHeight="1">
      <c r="B2" s="29"/>
      <c r="H2" s="29"/>
      <c r="I2" s="97"/>
    </row>
    <row r="3" spans="2:9" s="25" customFormat="1" ht="18" customHeight="1">
      <c r="B3" s="29"/>
      <c r="H3" s="29"/>
      <c r="I3" s="97"/>
    </row>
    <row r="4" spans="1:10" s="26" customFormat="1" ht="21" customHeight="1">
      <c r="A4" s="269" t="s">
        <v>232</v>
      </c>
      <c r="B4" s="269"/>
      <c r="C4" s="269"/>
      <c r="D4" s="269"/>
      <c r="E4" s="269"/>
      <c r="F4" s="269"/>
      <c r="G4" s="269"/>
      <c r="H4" s="269"/>
      <c r="I4" s="269"/>
      <c r="J4" s="269"/>
    </row>
    <row r="5" spans="1:10" s="22" customFormat="1" ht="18" customHeight="1">
      <c r="A5" s="297"/>
      <c r="B5" s="297"/>
      <c r="C5" s="297"/>
      <c r="D5" s="297"/>
      <c r="E5" s="297"/>
      <c r="F5" s="297"/>
      <c r="G5" s="24"/>
      <c r="H5" s="298" t="s">
        <v>80</v>
      </c>
      <c r="I5" s="298"/>
      <c r="J5" s="298"/>
    </row>
    <row r="6" spans="1:10" s="23" customFormat="1" ht="17.25" customHeight="1">
      <c r="A6" s="295" t="s">
        <v>106</v>
      </c>
      <c r="B6" s="291" t="s">
        <v>190</v>
      </c>
      <c r="C6" s="294" t="s">
        <v>77</v>
      </c>
      <c r="D6" s="294"/>
      <c r="E6" s="294"/>
      <c r="F6" s="294"/>
      <c r="G6" s="294"/>
      <c r="H6" s="273" t="s">
        <v>187</v>
      </c>
      <c r="I6" s="273"/>
      <c r="J6" s="274"/>
    </row>
    <row r="7" spans="1:10" s="23" customFormat="1" ht="17.25" customHeight="1">
      <c r="A7" s="299"/>
      <c r="B7" s="292"/>
      <c r="C7" s="291" t="s">
        <v>0</v>
      </c>
      <c r="D7" s="291" t="s">
        <v>83</v>
      </c>
      <c r="E7" s="291" t="s">
        <v>74</v>
      </c>
      <c r="F7" s="291" t="s">
        <v>73</v>
      </c>
      <c r="G7" s="295" t="s">
        <v>107</v>
      </c>
      <c r="H7" s="270" t="s">
        <v>108</v>
      </c>
      <c r="I7" s="291" t="s">
        <v>74</v>
      </c>
      <c r="J7" s="291" t="s">
        <v>73</v>
      </c>
    </row>
    <row r="8" spans="1:10" s="23" customFormat="1" ht="27" customHeight="1">
      <c r="A8" s="296"/>
      <c r="B8" s="293"/>
      <c r="C8" s="293"/>
      <c r="D8" s="293"/>
      <c r="E8" s="293"/>
      <c r="F8" s="293"/>
      <c r="G8" s="296"/>
      <c r="H8" s="270"/>
      <c r="I8" s="293"/>
      <c r="J8" s="293"/>
    </row>
    <row r="9" spans="1:10" s="77" customFormat="1" ht="17.25" customHeight="1">
      <c r="A9" s="78" t="s">
        <v>233</v>
      </c>
      <c r="B9" s="170">
        <f>SUM(B10:B28)+1</f>
        <v>609319</v>
      </c>
      <c r="C9" s="170">
        <f>SUM(C10:C28)</f>
        <v>700930</v>
      </c>
      <c r="D9" s="170">
        <f>SUM(D10:D28)+1</f>
        <v>731683</v>
      </c>
      <c r="E9" s="170">
        <f>D9-B9</f>
        <v>122364</v>
      </c>
      <c r="F9" s="171">
        <f>E9/B9</f>
        <v>0.2008209164657593</v>
      </c>
      <c r="G9" s="171">
        <f>D9/C9</f>
        <v>1.0438745666471687</v>
      </c>
      <c r="H9" s="170">
        <f>SUM(H10:H28)</f>
        <v>841260</v>
      </c>
      <c r="I9" s="170">
        <f aca="true" t="shared" si="0" ref="I9:I28">H9-D9</f>
        <v>109577</v>
      </c>
      <c r="J9" s="172">
        <f aca="true" t="shared" si="1" ref="J9:J28">I9/D9</f>
        <v>0.14976021036432444</v>
      </c>
    </row>
    <row r="10" spans="1:10" s="23" customFormat="1" ht="17.25" customHeight="1">
      <c r="A10" s="28" t="s">
        <v>109</v>
      </c>
      <c r="B10" s="173">
        <v>36790</v>
      </c>
      <c r="C10" s="173">
        <v>42750</v>
      </c>
      <c r="D10" s="173">
        <f>'2012全市执行情况表'!D8</f>
        <v>40384</v>
      </c>
      <c r="E10" s="173">
        <f>D10-B10</f>
        <v>3594</v>
      </c>
      <c r="F10" s="174">
        <f aca="true" t="shared" si="2" ref="F10:F28">E10/B10</f>
        <v>0.09768958956238108</v>
      </c>
      <c r="G10" s="175">
        <f>D10/C10</f>
        <v>0.944654970760234</v>
      </c>
      <c r="H10" s="173">
        <v>45620</v>
      </c>
      <c r="I10" s="176">
        <f t="shared" si="0"/>
        <v>5236</v>
      </c>
      <c r="J10" s="174">
        <f t="shared" si="1"/>
        <v>0.1296553090332805</v>
      </c>
    </row>
    <row r="11" spans="1:10" s="23" customFormat="1" ht="17.25" customHeight="1">
      <c r="A11" s="28" t="s">
        <v>110</v>
      </c>
      <c r="B11" s="173">
        <v>158476</v>
      </c>
      <c r="C11" s="177">
        <v>198000</v>
      </c>
      <c r="D11" s="173">
        <f>'2012全市执行情况表'!D9</f>
        <v>176208</v>
      </c>
      <c r="E11" s="173">
        <f>D11-B11</f>
        <v>17732</v>
      </c>
      <c r="F11" s="174">
        <f t="shared" si="2"/>
        <v>0.11189075948408592</v>
      </c>
      <c r="G11" s="175">
        <f aca="true" t="shared" si="3" ref="G11:G28">D11/C11</f>
        <v>0.8899393939393939</v>
      </c>
      <c r="H11" s="177">
        <v>205040</v>
      </c>
      <c r="I11" s="176">
        <f t="shared" si="0"/>
        <v>28832</v>
      </c>
      <c r="J11" s="174">
        <f t="shared" si="1"/>
        <v>0.1636248070462181</v>
      </c>
    </row>
    <row r="12" spans="1:10" s="23" customFormat="1" ht="17.25" customHeight="1">
      <c r="A12" s="28" t="s">
        <v>111</v>
      </c>
      <c r="B12" s="173">
        <v>76696</v>
      </c>
      <c r="C12" s="173">
        <v>89280</v>
      </c>
      <c r="D12" s="173">
        <f>'2012全市执行情况表'!D10</f>
        <v>81938</v>
      </c>
      <c r="E12" s="173">
        <f aca="true" t="shared" si="4" ref="E12:E28">D12-B12</f>
        <v>5242</v>
      </c>
      <c r="F12" s="174">
        <f t="shared" si="2"/>
        <v>0.06834776259518098</v>
      </c>
      <c r="G12" s="175">
        <f t="shared" si="3"/>
        <v>0.9177643369175628</v>
      </c>
      <c r="H12" s="173">
        <v>95100</v>
      </c>
      <c r="I12" s="176">
        <f t="shared" si="0"/>
        <v>13162</v>
      </c>
      <c r="J12" s="174">
        <f t="shared" si="1"/>
        <v>0.1606336498328004</v>
      </c>
    </row>
    <row r="13" spans="1:10" s="23" customFormat="1" ht="17.25" customHeight="1">
      <c r="A13" s="28" t="s">
        <v>112</v>
      </c>
      <c r="B13" s="173">
        <v>24744</v>
      </c>
      <c r="C13" s="178">
        <v>19800</v>
      </c>
      <c r="D13" s="173">
        <f>'2012全市执行情况表'!D11</f>
        <v>18485</v>
      </c>
      <c r="E13" s="173">
        <f t="shared" si="4"/>
        <v>-6259</v>
      </c>
      <c r="F13" s="174">
        <f t="shared" si="2"/>
        <v>-0.252950210151956</v>
      </c>
      <c r="G13" s="175">
        <f t="shared" si="3"/>
        <v>0.9335858585858586</v>
      </c>
      <c r="H13" s="178">
        <v>23000</v>
      </c>
      <c r="I13" s="176">
        <f t="shared" si="0"/>
        <v>4515</v>
      </c>
      <c r="J13" s="174">
        <f t="shared" si="1"/>
        <v>0.24425209629429268</v>
      </c>
    </row>
    <row r="14" spans="1:10" s="23" customFormat="1" ht="17.25" customHeight="1">
      <c r="A14" s="28" t="s">
        <v>113</v>
      </c>
      <c r="B14" s="173">
        <v>38152</v>
      </c>
      <c r="C14" s="178">
        <v>49500</v>
      </c>
      <c r="D14" s="173">
        <f>'2012全市执行情况表'!D12</f>
        <v>47989</v>
      </c>
      <c r="E14" s="173">
        <f t="shared" si="4"/>
        <v>9837</v>
      </c>
      <c r="F14" s="174">
        <f t="shared" si="2"/>
        <v>0.25783707276158524</v>
      </c>
      <c r="G14" s="175">
        <f t="shared" si="3"/>
        <v>0.9694747474747475</v>
      </c>
      <c r="H14" s="178">
        <v>54000</v>
      </c>
      <c r="I14" s="176">
        <f t="shared" si="0"/>
        <v>6011</v>
      </c>
      <c r="J14" s="174">
        <f t="shared" si="1"/>
        <v>0.12525787159557397</v>
      </c>
    </row>
    <row r="15" spans="1:10" s="23" customFormat="1" ht="17.25" customHeight="1">
      <c r="A15" s="28" t="s">
        <v>114</v>
      </c>
      <c r="B15" s="173">
        <v>20289</v>
      </c>
      <c r="C15" s="178">
        <v>23400</v>
      </c>
      <c r="D15" s="173">
        <f>'2012全市执行情况表'!D13</f>
        <v>45561</v>
      </c>
      <c r="E15" s="173">
        <f t="shared" si="4"/>
        <v>25272</v>
      </c>
      <c r="F15" s="174">
        <f t="shared" si="2"/>
        <v>1.2456010646162945</v>
      </c>
      <c r="G15" s="175">
        <f t="shared" si="3"/>
        <v>1.947051282051282</v>
      </c>
      <c r="H15" s="178">
        <v>52900</v>
      </c>
      <c r="I15" s="176">
        <f t="shared" si="0"/>
        <v>7339</v>
      </c>
      <c r="J15" s="174">
        <f t="shared" si="1"/>
        <v>0.16108074888610874</v>
      </c>
    </row>
    <row r="16" spans="1:182" s="23" customFormat="1" ht="17.25" customHeight="1">
      <c r="A16" s="28" t="s">
        <v>115</v>
      </c>
      <c r="B16" s="173">
        <v>974</v>
      </c>
      <c r="C16" s="173">
        <v>1100</v>
      </c>
      <c r="D16" s="173">
        <f>'2012全市执行情况表'!D14</f>
        <v>1176</v>
      </c>
      <c r="E16" s="173">
        <f t="shared" si="4"/>
        <v>202</v>
      </c>
      <c r="F16" s="174">
        <f t="shared" si="2"/>
        <v>0.20739219712525667</v>
      </c>
      <c r="G16" s="175">
        <f t="shared" si="3"/>
        <v>1.069090909090909</v>
      </c>
      <c r="H16" s="173">
        <v>1440</v>
      </c>
      <c r="I16" s="176">
        <f t="shared" si="0"/>
        <v>264</v>
      </c>
      <c r="J16" s="174">
        <f t="shared" si="1"/>
        <v>0.22448979591836735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</row>
    <row r="17" spans="1:182" s="23" customFormat="1" ht="17.25" customHeight="1">
      <c r="A17" s="28" t="s">
        <v>116</v>
      </c>
      <c r="B17" s="173">
        <v>61374</v>
      </c>
      <c r="C17" s="173">
        <v>78500</v>
      </c>
      <c r="D17" s="173">
        <f>'2012全市执行情况表'!D15</f>
        <v>68809</v>
      </c>
      <c r="E17" s="173">
        <f t="shared" si="4"/>
        <v>7435</v>
      </c>
      <c r="F17" s="174">
        <f t="shared" si="2"/>
        <v>0.12114250334017662</v>
      </c>
      <c r="G17" s="175">
        <f t="shared" si="3"/>
        <v>0.8765477707006369</v>
      </c>
      <c r="H17" s="173">
        <v>79800</v>
      </c>
      <c r="I17" s="176">
        <f t="shared" si="0"/>
        <v>10991</v>
      </c>
      <c r="J17" s="174">
        <f t="shared" si="1"/>
        <v>0.15973201180078186</v>
      </c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</row>
    <row r="18" spans="1:182" s="23" customFormat="1" ht="17.25" customHeight="1">
      <c r="A18" s="28" t="s">
        <v>117</v>
      </c>
      <c r="B18" s="173">
        <v>34622</v>
      </c>
      <c r="C18" s="173">
        <v>39000</v>
      </c>
      <c r="D18" s="173">
        <f>'2012全市执行情况表'!D16</f>
        <v>41307</v>
      </c>
      <c r="E18" s="173">
        <f t="shared" si="4"/>
        <v>6685</v>
      </c>
      <c r="F18" s="174">
        <f t="shared" si="2"/>
        <v>0.19308532147189647</v>
      </c>
      <c r="G18" s="175">
        <f t="shared" si="3"/>
        <v>1.0591538461538461</v>
      </c>
      <c r="H18" s="173">
        <v>48660</v>
      </c>
      <c r="I18" s="176">
        <f t="shared" si="0"/>
        <v>7353</v>
      </c>
      <c r="J18" s="174">
        <f t="shared" si="1"/>
        <v>0.17800856997603312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</row>
    <row r="19" spans="1:182" s="23" customFormat="1" ht="17.25" customHeight="1">
      <c r="A19" s="28" t="s">
        <v>118</v>
      </c>
      <c r="B19" s="173">
        <v>18721</v>
      </c>
      <c r="C19" s="173">
        <v>23000</v>
      </c>
      <c r="D19" s="173">
        <f>'2012全市执行情况表'!D17</f>
        <v>19152</v>
      </c>
      <c r="E19" s="173">
        <f t="shared" si="4"/>
        <v>431</v>
      </c>
      <c r="F19" s="174">
        <f t="shared" si="2"/>
        <v>0.023022274451151115</v>
      </c>
      <c r="G19" s="175">
        <f t="shared" si="3"/>
        <v>0.8326956521739131</v>
      </c>
      <c r="H19" s="173">
        <v>20950</v>
      </c>
      <c r="I19" s="176">
        <f t="shared" si="0"/>
        <v>1798</v>
      </c>
      <c r="J19" s="174">
        <f t="shared" si="1"/>
        <v>0.09388053467000836</v>
      </c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</row>
    <row r="20" spans="1:182" s="23" customFormat="1" ht="17.25" customHeight="1">
      <c r="A20" s="28" t="s">
        <v>119</v>
      </c>
      <c r="B20" s="173">
        <v>26301</v>
      </c>
      <c r="C20" s="173">
        <v>29000</v>
      </c>
      <c r="D20" s="173">
        <f>'2012全市执行情况表'!D18</f>
        <v>44248</v>
      </c>
      <c r="E20" s="173">
        <f t="shared" si="4"/>
        <v>17947</v>
      </c>
      <c r="F20" s="174">
        <f t="shared" si="2"/>
        <v>0.6823694916543097</v>
      </c>
      <c r="G20" s="175">
        <f t="shared" si="3"/>
        <v>1.525793103448276</v>
      </c>
      <c r="H20" s="173">
        <v>52200</v>
      </c>
      <c r="I20" s="176">
        <f t="shared" si="0"/>
        <v>7952</v>
      </c>
      <c r="J20" s="174">
        <f t="shared" si="1"/>
        <v>0.17971433737118062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</row>
    <row r="21" spans="1:182" s="23" customFormat="1" ht="17.25" customHeight="1">
      <c r="A21" s="28" t="s">
        <v>120</v>
      </c>
      <c r="B21" s="173">
        <v>10117</v>
      </c>
      <c r="C21" s="173">
        <v>12000</v>
      </c>
      <c r="D21" s="173">
        <f>'2012全市执行情况表'!D19</f>
        <v>15704</v>
      </c>
      <c r="E21" s="173">
        <f t="shared" si="4"/>
        <v>5587</v>
      </c>
      <c r="F21" s="174">
        <f t="shared" si="2"/>
        <v>0.5522388059701493</v>
      </c>
      <c r="G21" s="175">
        <f t="shared" si="3"/>
        <v>1.3086666666666666</v>
      </c>
      <c r="H21" s="173">
        <v>18200</v>
      </c>
      <c r="I21" s="176">
        <f t="shared" si="0"/>
        <v>2496</v>
      </c>
      <c r="J21" s="174">
        <f t="shared" si="1"/>
        <v>0.15894039735099338</v>
      </c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</row>
    <row r="22" spans="1:182" s="23" customFormat="1" ht="17.25" customHeight="1">
      <c r="A22" s="28" t="s">
        <v>121</v>
      </c>
      <c r="B22" s="173">
        <v>21738</v>
      </c>
      <c r="C22" s="173">
        <v>1000</v>
      </c>
      <c r="D22" s="173">
        <f>'2012全市执行情况表'!D20</f>
        <v>26565</v>
      </c>
      <c r="E22" s="173">
        <f t="shared" si="4"/>
        <v>4827</v>
      </c>
      <c r="F22" s="174">
        <f t="shared" si="2"/>
        <v>0.2220535467844328</v>
      </c>
      <c r="G22" s="175">
        <f t="shared" si="3"/>
        <v>26.565</v>
      </c>
      <c r="H22" s="173">
        <v>30200</v>
      </c>
      <c r="I22" s="176">
        <f t="shared" si="0"/>
        <v>3635</v>
      </c>
      <c r="J22" s="174">
        <f t="shared" si="1"/>
        <v>0.13683418031244118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</row>
    <row r="23" spans="1:182" s="23" customFormat="1" ht="17.25" customHeight="1">
      <c r="A23" s="28" t="s">
        <v>122</v>
      </c>
      <c r="B23" s="173">
        <v>2553</v>
      </c>
      <c r="C23" s="173"/>
      <c r="D23" s="173"/>
      <c r="E23" s="173"/>
      <c r="F23" s="174"/>
      <c r="G23" s="175"/>
      <c r="H23" s="173"/>
      <c r="I23" s="176"/>
      <c r="J23" s="174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</row>
    <row r="24" spans="1:182" s="23" customFormat="1" ht="17.25" customHeight="1">
      <c r="A24" s="28" t="s">
        <v>123</v>
      </c>
      <c r="B24" s="173">
        <v>23375</v>
      </c>
      <c r="C24" s="173">
        <f>28700+1000</f>
        <v>29700</v>
      </c>
      <c r="D24" s="173">
        <f>'2012全市执行情况表'!D23</f>
        <v>36133</v>
      </c>
      <c r="E24" s="173">
        <f t="shared" si="4"/>
        <v>12758</v>
      </c>
      <c r="F24" s="174">
        <f t="shared" si="2"/>
        <v>0.5457967914438503</v>
      </c>
      <c r="G24" s="175">
        <f t="shared" si="3"/>
        <v>1.2165993265993267</v>
      </c>
      <c r="H24" s="173">
        <v>44195</v>
      </c>
      <c r="I24" s="176">
        <f t="shared" si="0"/>
        <v>8062</v>
      </c>
      <c r="J24" s="174">
        <f t="shared" si="1"/>
        <v>0.2231201394846816</v>
      </c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</row>
    <row r="25" spans="1:182" s="23" customFormat="1" ht="17.25" customHeight="1">
      <c r="A25" s="28" t="s">
        <v>124</v>
      </c>
      <c r="B25" s="173">
        <v>16201</v>
      </c>
      <c r="C25" s="173">
        <f>19500+1000</f>
        <v>20500</v>
      </c>
      <c r="D25" s="173">
        <f>'2012全市执行情况表'!D24</f>
        <v>24805</v>
      </c>
      <c r="E25" s="173">
        <f t="shared" si="4"/>
        <v>8604</v>
      </c>
      <c r="F25" s="174">
        <f t="shared" si="2"/>
        <v>0.5310783284982409</v>
      </c>
      <c r="G25" s="175">
        <f t="shared" si="3"/>
        <v>1.21</v>
      </c>
      <c r="H25" s="173">
        <v>24805</v>
      </c>
      <c r="I25" s="176">
        <f t="shared" si="0"/>
        <v>0</v>
      </c>
      <c r="J25" s="174">
        <f t="shared" si="1"/>
        <v>0</v>
      </c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</row>
    <row r="26" spans="1:182" s="23" customFormat="1" ht="17.25" customHeight="1">
      <c r="A26" s="28" t="s">
        <v>125</v>
      </c>
      <c r="B26" s="173">
        <v>10464</v>
      </c>
      <c r="C26" s="173">
        <v>9000</v>
      </c>
      <c r="D26" s="173">
        <f>'2012全市执行情况表'!D26</f>
        <v>11932</v>
      </c>
      <c r="E26" s="173">
        <f t="shared" si="4"/>
        <v>1468</v>
      </c>
      <c r="F26" s="174">
        <f t="shared" si="2"/>
        <v>0.14029051987767585</v>
      </c>
      <c r="G26" s="175">
        <f t="shared" si="3"/>
        <v>1.3257777777777777</v>
      </c>
      <c r="H26" s="173">
        <v>8700</v>
      </c>
      <c r="I26" s="176">
        <f t="shared" si="0"/>
        <v>-3232</v>
      </c>
      <c r="J26" s="174">
        <f t="shared" si="1"/>
        <v>-0.27086825343613813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</row>
    <row r="27" spans="1:182" s="23" customFormat="1" ht="17.25" customHeight="1">
      <c r="A27" s="28" t="s">
        <v>126</v>
      </c>
      <c r="B27" s="173">
        <v>26762</v>
      </c>
      <c r="C27" s="173">
        <v>34300</v>
      </c>
      <c r="D27" s="173">
        <f>'2012全市执行情况表'!D22</f>
        <v>30139</v>
      </c>
      <c r="E27" s="173">
        <f t="shared" si="4"/>
        <v>3377</v>
      </c>
      <c r="F27" s="174">
        <f t="shared" si="2"/>
        <v>0.1261863836783499</v>
      </c>
      <c r="G27" s="175">
        <f t="shared" si="3"/>
        <v>0.8786880466472303</v>
      </c>
      <c r="H27" s="173">
        <v>34950</v>
      </c>
      <c r="I27" s="176">
        <f t="shared" si="0"/>
        <v>4811</v>
      </c>
      <c r="J27" s="174">
        <f t="shared" si="1"/>
        <v>0.1596270612827234</v>
      </c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</row>
    <row r="28" spans="1:182" s="23" customFormat="1" ht="17.25" customHeight="1">
      <c r="A28" s="28" t="s">
        <v>127</v>
      </c>
      <c r="B28" s="173">
        <v>969</v>
      </c>
      <c r="C28" s="173">
        <v>1100</v>
      </c>
      <c r="D28" s="173">
        <f>'2012全市执行情况表'!D27</f>
        <v>1147</v>
      </c>
      <c r="E28" s="173">
        <f t="shared" si="4"/>
        <v>178</v>
      </c>
      <c r="F28" s="174">
        <f t="shared" si="2"/>
        <v>0.18369453044375644</v>
      </c>
      <c r="G28" s="175">
        <f t="shared" si="3"/>
        <v>1.0427272727272727</v>
      </c>
      <c r="H28" s="173">
        <v>1500</v>
      </c>
      <c r="I28" s="176">
        <f t="shared" si="0"/>
        <v>353</v>
      </c>
      <c r="J28" s="174">
        <f t="shared" si="1"/>
        <v>0.3077593722755013</v>
      </c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</row>
    <row r="29" spans="1:10" ht="18" customHeight="1">
      <c r="A29" s="271"/>
      <c r="B29" s="271"/>
      <c r="C29" s="271"/>
      <c r="D29" s="271"/>
      <c r="E29" s="271"/>
      <c r="F29" s="271"/>
      <c r="G29" s="271"/>
      <c r="H29" s="271"/>
      <c r="I29" s="271"/>
      <c r="J29" s="271"/>
    </row>
    <row r="30" spans="1:182" s="23" customFormat="1" ht="15.75" customHeight="1">
      <c r="A30" s="272"/>
      <c r="B30" s="272"/>
      <c r="C30" s="272"/>
      <c r="D30" s="272"/>
      <c r="E30" s="272"/>
      <c r="F30" s="272"/>
      <c r="G30" s="272"/>
      <c r="H30" s="272"/>
      <c r="I30" s="272"/>
      <c r="J30" s="272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</row>
    <row r="31" spans="8:182" s="23" customFormat="1" ht="15.75" customHeight="1"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</row>
    <row r="33" spans="8:182" ht="18" customHeight="1"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  <c r="EY33" s="80"/>
      <c r="EZ33" s="80"/>
      <c r="FA33" s="80"/>
      <c r="FB33" s="80"/>
      <c r="FC33" s="80"/>
      <c r="FD33" s="80"/>
      <c r="FE33" s="80"/>
      <c r="FF33" s="80"/>
      <c r="FG33" s="80"/>
      <c r="FH33" s="80"/>
      <c r="FI33" s="80"/>
      <c r="FJ33" s="80"/>
      <c r="FK33" s="80"/>
      <c r="FL33" s="80"/>
      <c r="FM33" s="80"/>
      <c r="FN33" s="80"/>
      <c r="FO33" s="80"/>
      <c r="FP33" s="80"/>
      <c r="FQ33" s="80"/>
      <c r="FR33" s="80"/>
      <c r="FS33" s="80"/>
      <c r="FT33" s="80"/>
      <c r="FU33" s="80"/>
      <c r="FV33" s="80"/>
      <c r="FW33" s="80"/>
      <c r="FX33" s="80"/>
      <c r="FY33" s="80"/>
      <c r="FZ33" s="80"/>
    </row>
    <row r="34" spans="1:182" ht="18" customHeight="1">
      <c r="A34" s="108"/>
      <c r="B34" s="108"/>
      <c r="C34" s="108"/>
      <c r="D34" s="109"/>
      <c r="E34" s="109"/>
      <c r="F34" s="108"/>
      <c r="G34" s="108"/>
      <c r="H34" s="110"/>
      <c r="I34" s="110"/>
      <c r="J34" s="110"/>
      <c r="K34" s="11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  <c r="EY34" s="80"/>
      <c r="EZ34" s="80"/>
      <c r="FA34" s="80"/>
      <c r="FB34" s="80"/>
      <c r="FC34" s="80"/>
      <c r="FD34" s="80"/>
      <c r="FE34" s="80"/>
      <c r="FF34" s="80"/>
      <c r="FG34" s="80"/>
      <c r="FH34" s="80"/>
      <c r="FI34" s="80"/>
      <c r="FJ34" s="80"/>
      <c r="FK34" s="80"/>
      <c r="FL34" s="80"/>
      <c r="FM34" s="80"/>
      <c r="FN34" s="80"/>
      <c r="FO34" s="80"/>
      <c r="FP34" s="80"/>
      <c r="FQ34" s="80"/>
      <c r="FR34" s="80"/>
      <c r="FS34" s="80"/>
      <c r="FT34" s="80"/>
      <c r="FU34" s="80"/>
      <c r="FV34" s="80"/>
      <c r="FW34" s="80"/>
      <c r="FX34" s="80"/>
      <c r="FY34" s="80"/>
      <c r="FZ34" s="80"/>
    </row>
    <row r="35" spans="1:182" ht="18" customHeight="1">
      <c r="A35" s="108"/>
      <c r="B35" s="108"/>
      <c r="C35" s="108"/>
      <c r="D35" s="108"/>
      <c r="E35" s="111"/>
      <c r="F35" s="111"/>
      <c r="G35" s="108"/>
      <c r="H35" s="110"/>
      <c r="I35" s="110"/>
      <c r="J35" s="110"/>
      <c r="K35" s="11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  <c r="EX35" s="80"/>
      <c r="EY35" s="80"/>
      <c r="EZ35" s="80"/>
      <c r="FA35" s="80"/>
      <c r="FB35" s="80"/>
      <c r="FC35" s="80"/>
      <c r="FD35" s="80"/>
      <c r="FE35" s="80"/>
      <c r="FF35" s="80"/>
      <c r="FG35" s="80"/>
      <c r="FH35" s="80"/>
      <c r="FI35" s="80"/>
      <c r="FJ35" s="80"/>
      <c r="FK35" s="80"/>
      <c r="FL35" s="80"/>
      <c r="FM35" s="80"/>
      <c r="FN35" s="80"/>
      <c r="FO35" s="80"/>
      <c r="FP35" s="80"/>
      <c r="FQ35" s="80"/>
      <c r="FR35" s="80"/>
      <c r="FS35" s="80"/>
      <c r="FT35" s="80"/>
      <c r="FU35" s="80"/>
      <c r="FV35" s="80"/>
      <c r="FW35" s="80"/>
      <c r="FX35" s="80"/>
      <c r="FY35" s="80"/>
      <c r="FZ35" s="80"/>
    </row>
    <row r="36" spans="1:182" ht="18" customHeight="1">
      <c r="A36" s="108"/>
      <c r="B36" s="108"/>
      <c r="C36" s="179"/>
      <c r="D36" s="121"/>
      <c r="E36" s="112"/>
      <c r="F36" s="112"/>
      <c r="G36" s="108"/>
      <c r="H36" s="110"/>
      <c r="I36" s="110"/>
      <c r="J36" s="110"/>
      <c r="K36" s="11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  <c r="EY36" s="80"/>
      <c r="EZ36" s="80"/>
      <c r="FA36" s="80"/>
      <c r="FB36" s="80"/>
      <c r="FC36" s="80"/>
      <c r="FD36" s="80"/>
      <c r="FE36" s="80"/>
      <c r="FF36" s="80"/>
      <c r="FG36" s="80"/>
      <c r="FH36" s="80"/>
      <c r="FI36" s="80"/>
      <c r="FJ36" s="80"/>
      <c r="FK36" s="80"/>
      <c r="FL36" s="80"/>
      <c r="FM36" s="80"/>
      <c r="FN36" s="80"/>
      <c r="FO36" s="80"/>
      <c r="FP36" s="80"/>
      <c r="FQ36" s="80"/>
      <c r="FR36" s="80"/>
      <c r="FS36" s="80"/>
      <c r="FT36" s="80"/>
      <c r="FU36" s="80"/>
      <c r="FV36" s="80"/>
      <c r="FW36" s="80"/>
      <c r="FX36" s="80"/>
      <c r="FY36" s="80"/>
      <c r="FZ36" s="80"/>
    </row>
    <row r="37" spans="1:182" ht="18" customHeight="1">
      <c r="A37" s="108"/>
      <c r="B37" s="108"/>
      <c r="C37" s="179"/>
      <c r="D37" s="121"/>
      <c r="E37" s="112"/>
      <c r="F37" s="112"/>
      <c r="G37" s="108"/>
      <c r="H37" s="110"/>
      <c r="I37" s="110"/>
      <c r="J37" s="110"/>
      <c r="K37" s="11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  <c r="EY37" s="80"/>
      <c r="EZ37" s="80"/>
      <c r="FA37" s="80"/>
      <c r="FB37" s="80"/>
      <c r="FC37" s="80"/>
      <c r="FD37" s="80"/>
      <c r="FE37" s="80"/>
      <c r="FF37" s="80"/>
      <c r="FG37" s="80"/>
      <c r="FH37" s="80"/>
      <c r="FI37" s="80"/>
      <c r="FJ37" s="80"/>
      <c r="FK37" s="80"/>
      <c r="FL37" s="80"/>
      <c r="FM37" s="80"/>
      <c r="FN37" s="80"/>
      <c r="FO37" s="80"/>
      <c r="FP37" s="80"/>
      <c r="FQ37" s="80"/>
      <c r="FR37" s="80"/>
      <c r="FS37" s="80"/>
      <c r="FT37" s="80"/>
      <c r="FU37" s="80"/>
      <c r="FV37" s="80"/>
      <c r="FW37" s="80"/>
      <c r="FX37" s="80"/>
      <c r="FY37" s="80"/>
      <c r="FZ37" s="80"/>
    </row>
    <row r="38" spans="1:182" ht="18" customHeight="1">
      <c r="A38" s="108"/>
      <c r="B38" s="108"/>
      <c r="C38" s="180"/>
      <c r="D38" s="121"/>
      <c r="E38" s="112"/>
      <c r="F38" s="112"/>
      <c r="G38" s="108"/>
      <c r="H38" s="110"/>
      <c r="I38" s="110"/>
      <c r="J38" s="110"/>
      <c r="K38" s="11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  <c r="EX38" s="80"/>
      <c r="EY38" s="80"/>
      <c r="EZ38" s="80"/>
      <c r="FA38" s="80"/>
      <c r="FB38" s="80"/>
      <c r="FC38" s="80"/>
      <c r="FD38" s="80"/>
      <c r="FE38" s="80"/>
      <c r="FF38" s="80"/>
      <c r="FG38" s="80"/>
      <c r="FH38" s="80"/>
      <c r="FI38" s="80"/>
      <c r="FJ38" s="80"/>
      <c r="FK38" s="80"/>
      <c r="FL38" s="80"/>
      <c r="FM38" s="80"/>
      <c r="FN38" s="80"/>
      <c r="FO38" s="80"/>
      <c r="FP38" s="80"/>
      <c r="FQ38" s="80"/>
      <c r="FR38" s="80"/>
      <c r="FS38" s="80"/>
      <c r="FT38" s="80"/>
      <c r="FU38" s="80"/>
      <c r="FV38" s="80"/>
      <c r="FW38" s="80"/>
      <c r="FX38" s="80"/>
      <c r="FY38" s="80"/>
      <c r="FZ38" s="80"/>
    </row>
    <row r="39" spans="1:182" ht="18" customHeight="1">
      <c r="A39" s="108"/>
      <c r="B39" s="108"/>
      <c r="C39" s="180"/>
      <c r="D39" s="121"/>
      <c r="E39" s="112"/>
      <c r="F39" s="112"/>
      <c r="G39" s="108"/>
      <c r="H39" s="110"/>
      <c r="I39" s="110"/>
      <c r="J39" s="110"/>
      <c r="K39" s="11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  <c r="EY39" s="80"/>
      <c r="EZ39" s="80"/>
      <c r="FA39" s="80"/>
      <c r="FB39" s="80"/>
      <c r="FC39" s="80"/>
      <c r="FD39" s="80"/>
      <c r="FE39" s="80"/>
      <c r="FF39" s="80"/>
      <c r="FG39" s="80"/>
      <c r="FH39" s="80"/>
      <c r="FI39" s="80"/>
      <c r="FJ39" s="80"/>
      <c r="FK39" s="80"/>
      <c r="FL39" s="80"/>
      <c r="FM39" s="80"/>
      <c r="FN39" s="80"/>
      <c r="FO39" s="80"/>
      <c r="FP39" s="80"/>
      <c r="FQ39" s="80"/>
      <c r="FR39" s="80"/>
      <c r="FS39" s="80"/>
      <c r="FT39" s="80"/>
      <c r="FU39" s="80"/>
      <c r="FV39" s="80"/>
      <c r="FW39" s="80"/>
      <c r="FX39" s="80"/>
      <c r="FY39" s="80"/>
      <c r="FZ39" s="80"/>
    </row>
    <row r="40" spans="1:182" ht="18" customHeight="1">
      <c r="A40" s="108"/>
      <c r="B40" s="108"/>
      <c r="C40" s="179"/>
      <c r="D40" s="121"/>
      <c r="E40" s="112"/>
      <c r="F40" s="112"/>
      <c r="G40" s="108"/>
      <c r="H40" s="110"/>
      <c r="I40" s="110"/>
      <c r="J40" s="110"/>
      <c r="K40" s="11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  <c r="EY40" s="80"/>
      <c r="EZ40" s="80"/>
      <c r="FA40" s="80"/>
      <c r="FB40" s="80"/>
      <c r="FC40" s="80"/>
      <c r="FD40" s="80"/>
      <c r="FE40" s="80"/>
      <c r="FF40" s="80"/>
      <c r="FG40" s="80"/>
      <c r="FH40" s="80"/>
      <c r="FI40" s="80"/>
      <c r="FJ40" s="80"/>
      <c r="FK40" s="80"/>
      <c r="FL40" s="80"/>
      <c r="FM40" s="80"/>
      <c r="FN40" s="80"/>
      <c r="FO40" s="80"/>
      <c r="FP40" s="80"/>
      <c r="FQ40" s="80"/>
      <c r="FR40" s="80"/>
      <c r="FS40" s="80"/>
      <c r="FT40" s="80"/>
      <c r="FU40" s="80"/>
      <c r="FV40" s="80"/>
      <c r="FW40" s="80"/>
      <c r="FX40" s="80"/>
      <c r="FY40" s="80"/>
      <c r="FZ40" s="80"/>
    </row>
    <row r="41" spans="1:182" ht="18" customHeight="1">
      <c r="A41" s="108"/>
      <c r="B41" s="108"/>
      <c r="C41" s="180"/>
      <c r="D41" s="121"/>
      <c r="E41" s="112"/>
      <c r="F41" s="112"/>
      <c r="G41" s="108"/>
      <c r="H41" s="110"/>
      <c r="I41" s="110"/>
      <c r="J41" s="110"/>
      <c r="K41" s="11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  <c r="EY41" s="80"/>
      <c r="EZ41" s="80"/>
      <c r="FA41" s="80"/>
      <c r="FB41" s="80"/>
      <c r="FC41" s="80"/>
      <c r="FD41" s="80"/>
      <c r="FE41" s="80"/>
      <c r="FF41" s="80"/>
      <c r="FG41" s="80"/>
      <c r="FH41" s="80"/>
      <c r="FI41" s="80"/>
      <c r="FJ41" s="80"/>
      <c r="FK41" s="80"/>
      <c r="FL41" s="80"/>
      <c r="FM41" s="80"/>
      <c r="FN41" s="80"/>
      <c r="FO41" s="80"/>
      <c r="FP41" s="80"/>
      <c r="FQ41" s="80"/>
      <c r="FR41" s="80"/>
      <c r="FS41" s="80"/>
      <c r="FT41" s="80"/>
      <c r="FU41" s="80"/>
      <c r="FV41" s="80"/>
      <c r="FW41" s="80"/>
      <c r="FX41" s="80"/>
      <c r="FY41" s="80"/>
      <c r="FZ41" s="80"/>
    </row>
    <row r="42" spans="1:182" ht="18" customHeight="1">
      <c r="A42" s="108"/>
      <c r="B42" s="108"/>
      <c r="C42" s="180"/>
      <c r="D42" s="121"/>
      <c r="E42" s="112"/>
      <c r="F42" s="112"/>
      <c r="G42" s="108"/>
      <c r="H42" s="110"/>
      <c r="I42" s="110"/>
      <c r="J42" s="110"/>
      <c r="K42" s="11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  <c r="DQ42" s="80"/>
      <c r="DR42" s="80"/>
      <c r="DS42" s="80"/>
      <c r="DT42" s="80"/>
      <c r="DU42" s="80"/>
      <c r="DV42" s="80"/>
      <c r="DW42" s="80"/>
      <c r="DX42" s="80"/>
      <c r="DY42" s="80"/>
      <c r="DZ42" s="80"/>
      <c r="EA42" s="80"/>
      <c r="EB42" s="80"/>
      <c r="EC42" s="80"/>
      <c r="ED42" s="80"/>
      <c r="EE42" s="80"/>
      <c r="EF42" s="80"/>
      <c r="EG42" s="80"/>
      <c r="EH42" s="80"/>
      <c r="EI42" s="80"/>
      <c r="EJ42" s="80"/>
      <c r="EK42" s="80"/>
      <c r="EL42" s="80"/>
      <c r="EM42" s="80"/>
      <c r="EN42" s="80"/>
      <c r="EO42" s="80"/>
      <c r="EP42" s="80"/>
      <c r="EQ42" s="80"/>
      <c r="ER42" s="80"/>
      <c r="ES42" s="80"/>
      <c r="ET42" s="80"/>
      <c r="EU42" s="80"/>
      <c r="EV42" s="80"/>
      <c r="EW42" s="80"/>
      <c r="EX42" s="80"/>
      <c r="EY42" s="80"/>
      <c r="EZ42" s="80"/>
      <c r="FA42" s="80"/>
      <c r="FB42" s="80"/>
      <c r="FC42" s="80"/>
      <c r="FD42" s="80"/>
      <c r="FE42" s="80"/>
      <c r="FF42" s="80"/>
      <c r="FG42" s="80"/>
      <c r="FH42" s="80"/>
      <c r="FI42" s="80"/>
      <c r="FJ42" s="80"/>
      <c r="FK42" s="80"/>
      <c r="FL42" s="80"/>
      <c r="FM42" s="80"/>
      <c r="FN42" s="80"/>
      <c r="FO42" s="80"/>
      <c r="FP42" s="80"/>
      <c r="FQ42" s="80"/>
      <c r="FR42" s="80"/>
      <c r="FS42" s="80"/>
      <c r="FT42" s="80"/>
      <c r="FU42" s="80"/>
      <c r="FV42" s="80"/>
      <c r="FW42" s="80"/>
      <c r="FX42" s="80"/>
      <c r="FY42" s="80"/>
      <c r="FZ42" s="80"/>
    </row>
    <row r="43" spans="1:182" ht="18" customHeight="1">
      <c r="A43" s="108"/>
      <c r="B43" s="108"/>
      <c r="C43" s="108"/>
      <c r="D43" s="108"/>
      <c r="E43" s="108"/>
      <c r="F43" s="108"/>
      <c r="G43" s="108"/>
      <c r="H43" s="110"/>
      <c r="I43" s="110"/>
      <c r="J43" s="110"/>
      <c r="K43" s="11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  <c r="CQ43" s="80"/>
      <c r="CR43" s="80"/>
      <c r="CS43" s="80"/>
      <c r="CT43" s="80"/>
      <c r="CU43" s="80"/>
      <c r="CV43" s="80"/>
      <c r="CW43" s="80"/>
      <c r="CX43" s="80"/>
      <c r="CY43" s="80"/>
      <c r="CZ43" s="80"/>
      <c r="DA43" s="80"/>
      <c r="DB43" s="80"/>
      <c r="DC43" s="80"/>
      <c r="DD43" s="80"/>
      <c r="DE43" s="80"/>
      <c r="DF43" s="80"/>
      <c r="DG43" s="80"/>
      <c r="DH43" s="80"/>
      <c r="DI43" s="80"/>
      <c r="DJ43" s="80"/>
      <c r="DK43" s="80"/>
      <c r="DL43" s="80"/>
      <c r="DM43" s="80"/>
      <c r="DN43" s="80"/>
      <c r="DO43" s="80"/>
      <c r="DP43" s="80"/>
      <c r="DQ43" s="80"/>
      <c r="DR43" s="80"/>
      <c r="DS43" s="80"/>
      <c r="DT43" s="80"/>
      <c r="DU43" s="80"/>
      <c r="DV43" s="80"/>
      <c r="DW43" s="80"/>
      <c r="DX43" s="80"/>
      <c r="DY43" s="80"/>
      <c r="DZ43" s="80"/>
      <c r="EA43" s="80"/>
      <c r="EB43" s="80"/>
      <c r="EC43" s="80"/>
      <c r="ED43" s="80"/>
      <c r="EE43" s="80"/>
      <c r="EF43" s="80"/>
      <c r="EG43" s="80"/>
      <c r="EH43" s="80"/>
      <c r="EI43" s="80"/>
      <c r="EJ43" s="80"/>
      <c r="EK43" s="80"/>
      <c r="EL43" s="80"/>
      <c r="EM43" s="80"/>
      <c r="EN43" s="80"/>
      <c r="EO43" s="80"/>
      <c r="EP43" s="80"/>
      <c r="EQ43" s="80"/>
      <c r="ER43" s="80"/>
      <c r="ES43" s="80"/>
      <c r="ET43" s="80"/>
      <c r="EU43" s="80"/>
      <c r="EV43" s="80"/>
      <c r="EW43" s="80"/>
      <c r="EX43" s="80"/>
      <c r="EY43" s="80"/>
      <c r="EZ43" s="80"/>
      <c r="FA43" s="80"/>
      <c r="FB43" s="80"/>
      <c r="FC43" s="80"/>
      <c r="FD43" s="80"/>
      <c r="FE43" s="80"/>
      <c r="FF43" s="80"/>
      <c r="FG43" s="80"/>
      <c r="FH43" s="80"/>
      <c r="FI43" s="80"/>
      <c r="FJ43" s="80"/>
      <c r="FK43" s="80"/>
      <c r="FL43" s="80"/>
      <c r="FM43" s="80"/>
      <c r="FN43" s="80"/>
      <c r="FO43" s="80"/>
      <c r="FP43" s="80"/>
      <c r="FQ43" s="80"/>
      <c r="FR43" s="80"/>
      <c r="FS43" s="80"/>
      <c r="FT43" s="80"/>
      <c r="FU43" s="80"/>
      <c r="FV43" s="80"/>
      <c r="FW43" s="80"/>
      <c r="FX43" s="80"/>
      <c r="FY43" s="80"/>
      <c r="FZ43" s="80"/>
    </row>
    <row r="44" spans="1:182" ht="18" customHeight="1">
      <c r="A44" s="108"/>
      <c r="B44" s="108"/>
      <c r="C44" s="108"/>
      <c r="D44" s="112"/>
      <c r="E44" s="112"/>
      <c r="F44" s="112"/>
      <c r="G44" s="108"/>
      <c r="H44" s="110"/>
      <c r="I44" s="110"/>
      <c r="J44" s="110"/>
      <c r="K44" s="11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0"/>
      <c r="CA44" s="80"/>
      <c r="CB44" s="80"/>
      <c r="CC44" s="80"/>
      <c r="CD44" s="80"/>
      <c r="CE44" s="80"/>
      <c r="CF44" s="80"/>
      <c r="CG44" s="80"/>
      <c r="CH44" s="80"/>
      <c r="CI44" s="80"/>
      <c r="CJ44" s="80"/>
      <c r="CK44" s="80"/>
      <c r="CL44" s="80"/>
      <c r="CM44" s="80"/>
      <c r="CN44" s="80"/>
      <c r="CO44" s="80"/>
      <c r="CP44" s="80"/>
      <c r="CQ44" s="80"/>
      <c r="CR44" s="80"/>
      <c r="CS44" s="80"/>
      <c r="CT44" s="80"/>
      <c r="CU44" s="80"/>
      <c r="CV44" s="80"/>
      <c r="CW44" s="80"/>
      <c r="CX44" s="80"/>
      <c r="CY44" s="80"/>
      <c r="CZ44" s="80"/>
      <c r="DA44" s="80"/>
      <c r="DB44" s="80"/>
      <c r="DC44" s="80"/>
      <c r="DD44" s="80"/>
      <c r="DE44" s="80"/>
      <c r="DF44" s="80"/>
      <c r="DG44" s="80"/>
      <c r="DH44" s="80"/>
      <c r="DI44" s="80"/>
      <c r="DJ44" s="80"/>
      <c r="DK44" s="80"/>
      <c r="DL44" s="80"/>
      <c r="DM44" s="80"/>
      <c r="DN44" s="80"/>
      <c r="DO44" s="80"/>
      <c r="DP44" s="80"/>
      <c r="DQ44" s="80"/>
      <c r="DR44" s="80"/>
      <c r="DS44" s="80"/>
      <c r="DT44" s="80"/>
      <c r="DU44" s="80"/>
      <c r="DV44" s="80"/>
      <c r="DW44" s="80"/>
      <c r="DX44" s="80"/>
      <c r="DY44" s="80"/>
      <c r="DZ44" s="80"/>
      <c r="EA44" s="80"/>
      <c r="EB44" s="80"/>
      <c r="EC44" s="80"/>
      <c r="ED44" s="80"/>
      <c r="EE44" s="80"/>
      <c r="EF44" s="80"/>
      <c r="EG44" s="80"/>
      <c r="EH44" s="80"/>
      <c r="EI44" s="80"/>
      <c r="EJ44" s="80"/>
      <c r="EK44" s="80"/>
      <c r="EL44" s="80"/>
      <c r="EM44" s="80"/>
      <c r="EN44" s="80"/>
      <c r="EO44" s="80"/>
      <c r="EP44" s="80"/>
      <c r="EQ44" s="80"/>
      <c r="ER44" s="80"/>
      <c r="ES44" s="80"/>
      <c r="ET44" s="80"/>
      <c r="EU44" s="80"/>
      <c r="EV44" s="80"/>
      <c r="EW44" s="80"/>
      <c r="EX44" s="80"/>
      <c r="EY44" s="80"/>
      <c r="EZ44" s="80"/>
      <c r="FA44" s="80"/>
      <c r="FB44" s="80"/>
      <c r="FC44" s="80"/>
      <c r="FD44" s="80"/>
      <c r="FE44" s="80"/>
      <c r="FF44" s="80"/>
      <c r="FG44" s="80"/>
      <c r="FH44" s="80"/>
      <c r="FI44" s="80"/>
      <c r="FJ44" s="80"/>
      <c r="FK44" s="80"/>
      <c r="FL44" s="80"/>
      <c r="FM44" s="80"/>
      <c r="FN44" s="80"/>
      <c r="FO44" s="80"/>
      <c r="FP44" s="80"/>
      <c r="FQ44" s="80"/>
      <c r="FR44" s="80"/>
      <c r="FS44" s="80"/>
      <c r="FT44" s="80"/>
      <c r="FU44" s="80"/>
      <c r="FV44" s="80"/>
      <c r="FW44" s="80"/>
      <c r="FX44" s="80"/>
      <c r="FY44" s="80"/>
      <c r="FZ44" s="80"/>
    </row>
    <row r="45" spans="1:182" ht="18" customHeight="1">
      <c r="A45" s="108"/>
      <c r="B45" s="108"/>
      <c r="C45" s="108"/>
      <c r="D45" s="108"/>
      <c r="E45" s="108"/>
      <c r="F45" s="108"/>
      <c r="G45" s="108"/>
      <c r="H45" s="110"/>
      <c r="I45" s="110"/>
      <c r="J45" s="110"/>
      <c r="K45" s="11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0"/>
      <c r="BL45" s="80"/>
      <c r="BM45" s="80"/>
      <c r="BN45" s="80"/>
      <c r="BO45" s="80"/>
      <c r="BP45" s="80"/>
      <c r="BQ45" s="80"/>
      <c r="BR45" s="80"/>
      <c r="BS45" s="80"/>
      <c r="BT45" s="80"/>
      <c r="BU45" s="80"/>
      <c r="BV45" s="80"/>
      <c r="BW45" s="80"/>
      <c r="BX45" s="80"/>
      <c r="BY45" s="80"/>
      <c r="BZ45" s="80"/>
      <c r="CA45" s="80"/>
      <c r="CB45" s="80"/>
      <c r="CC45" s="80"/>
      <c r="CD45" s="80"/>
      <c r="CE45" s="80"/>
      <c r="CF45" s="80"/>
      <c r="CG45" s="80"/>
      <c r="CH45" s="80"/>
      <c r="CI45" s="80"/>
      <c r="CJ45" s="80"/>
      <c r="CK45" s="80"/>
      <c r="CL45" s="80"/>
      <c r="CM45" s="80"/>
      <c r="CN45" s="80"/>
      <c r="CO45" s="80"/>
      <c r="CP45" s="80"/>
      <c r="CQ45" s="80"/>
      <c r="CR45" s="80"/>
      <c r="CS45" s="80"/>
      <c r="CT45" s="80"/>
      <c r="CU45" s="80"/>
      <c r="CV45" s="80"/>
      <c r="CW45" s="80"/>
      <c r="CX45" s="80"/>
      <c r="CY45" s="80"/>
      <c r="CZ45" s="80"/>
      <c r="DA45" s="80"/>
      <c r="DB45" s="80"/>
      <c r="DC45" s="80"/>
      <c r="DD45" s="80"/>
      <c r="DE45" s="80"/>
      <c r="DF45" s="80"/>
      <c r="DG45" s="80"/>
      <c r="DH45" s="80"/>
      <c r="DI45" s="80"/>
      <c r="DJ45" s="80"/>
      <c r="DK45" s="80"/>
      <c r="DL45" s="80"/>
      <c r="DM45" s="80"/>
      <c r="DN45" s="80"/>
      <c r="DO45" s="80"/>
      <c r="DP45" s="80"/>
      <c r="DQ45" s="80"/>
      <c r="DR45" s="80"/>
      <c r="DS45" s="80"/>
      <c r="DT45" s="80"/>
      <c r="DU45" s="80"/>
      <c r="DV45" s="80"/>
      <c r="DW45" s="80"/>
      <c r="DX45" s="80"/>
      <c r="DY45" s="80"/>
      <c r="DZ45" s="80"/>
      <c r="EA45" s="80"/>
      <c r="EB45" s="80"/>
      <c r="EC45" s="80"/>
      <c r="ED45" s="80"/>
      <c r="EE45" s="80"/>
      <c r="EF45" s="80"/>
      <c r="EG45" s="80"/>
      <c r="EH45" s="80"/>
      <c r="EI45" s="80"/>
      <c r="EJ45" s="80"/>
      <c r="EK45" s="80"/>
      <c r="EL45" s="80"/>
      <c r="EM45" s="80"/>
      <c r="EN45" s="80"/>
      <c r="EO45" s="80"/>
      <c r="EP45" s="80"/>
      <c r="EQ45" s="80"/>
      <c r="ER45" s="80"/>
      <c r="ES45" s="80"/>
      <c r="ET45" s="80"/>
      <c r="EU45" s="80"/>
      <c r="EV45" s="80"/>
      <c r="EW45" s="80"/>
      <c r="EX45" s="80"/>
      <c r="EY45" s="80"/>
      <c r="EZ45" s="80"/>
      <c r="FA45" s="80"/>
      <c r="FB45" s="80"/>
      <c r="FC45" s="80"/>
      <c r="FD45" s="80"/>
      <c r="FE45" s="80"/>
      <c r="FF45" s="80"/>
      <c r="FG45" s="80"/>
      <c r="FH45" s="80"/>
      <c r="FI45" s="80"/>
      <c r="FJ45" s="80"/>
      <c r="FK45" s="80"/>
      <c r="FL45" s="80"/>
      <c r="FM45" s="80"/>
      <c r="FN45" s="80"/>
      <c r="FO45" s="80"/>
      <c r="FP45" s="80"/>
      <c r="FQ45" s="80"/>
      <c r="FR45" s="80"/>
      <c r="FS45" s="80"/>
      <c r="FT45" s="80"/>
      <c r="FU45" s="80"/>
      <c r="FV45" s="80"/>
      <c r="FW45" s="80"/>
      <c r="FX45" s="80"/>
      <c r="FY45" s="80"/>
      <c r="FZ45" s="80"/>
    </row>
    <row r="46" spans="8:182" ht="18" customHeight="1"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0"/>
      <c r="BQ46" s="80"/>
      <c r="BR46" s="80"/>
      <c r="BS46" s="80"/>
      <c r="BT46" s="80"/>
      <c r="BU46" s="80"/>
      <c r="BV46" s="80"/>
      <c r="BW46" s="80"/>
      <c r="BX46" s="80"/>
      <c r="BY46" s="80"/>
      <c r="BZ46" s="80"/>
      <c r="CA46" s="80"/>
      <c r="CB46" s="80"/>
      <c r="CC46" s="80"/>
      <c r="CD46" s="80"/>
      <c r="CE46" s="80"/>
      <c r="CF46" s="80"/>
      <c r="CG46" s="80"/>
      <c r="CH46" s="80"/>
      <c r="CI46" s="80"/>
      <c r="CJ46" s="80"/>
      <c r="CK46" s="80"/>
      <c r="CL46" s="80"/>
      <c r="CM46" s="80"/>
      <c r="CN46" s="80"/>
      <c r="CO46" s="80"/>
      <c r="CP46" s="80"/>
      <c r="CQ46" s="80"/>
      <c r="CR46" s="80"/>
      <c r="CS46" s="80"/>
      <c r="CT46" s="80"/>
      <c r="CU46" s="80"/>
      <c r="CV46" s="80"/>
      <c r="CW46" s="80"/>
      <c r="CX46" s="80"/>
      <c r="CY46" s="80"/>
      <c r="CZ46" s="80"/>
      <c r="DA46" s="80"/>
      <c r="DB46" s="80"/>
      <c r="DC46" s="80"/>
      <c r="DD46" s="80"/>
      <c r="DE46" s="80"/>
      <c r="DF46" s="80"/>
      <c r="DG46" s="80"/>
      <c r="DH46" s="80"/>
      <c r="DI46" s="80"/>
      <c r="DJ46" s="80"/>
      <c r="DK46" s="80"/>
      <c r="DL46" s="80"/>
      <c r="DM46" s="80"/>
      <c r="DN46" s="80"/>
      <c r="DO46" s="80"/>
      <c r="DP46" s="80"/>
      <c r="DQ46" s="80"/>
      <c r="DR46" s="80"/>
      <c r="DS46" s="80"/>
      <c r="DT46" s="80"/>
      <c r="DU46" s="80"/>
      <c r="DV46" s="80"/>
      <c r="DW46" s="80"/>
      <c r="DX46" s="80"/>
      <c r="DY46" s="80"/>
      <c r="DZ46" s="80"/>
      <c r="EA46" s="80"/>
      <c r="EB46" s="80"/>
      <c r="EC46" s="80"/>
      <c r="ED46" s="80"/>
      <c r="EE46" s="80"/>
      <c r="EF46" s="80"/>
      <c r="EG46" s="80"/>
      <c r="EH46" s="80"/>
      <c r="EI46" s="80"/>
      <c r="EJ46" s="80"/>
      <c r="EK46" s="80"/>
      <c r="EL46" s="80"/>
      <c r="EM46" s="80"/>
      <c r="EN46" s="80"/>
      <c r="EO46" s="80"/>
      <c r="EP46" s="80"/>
      <c r="EQ46" s="80"/>
      <c r="ER46" s="80"/>
      <c r="ES46" s="80"/>
      <c r="ET46" s="80"/>
      <c r="EU46" s="80"/>
      <c r="EV46" s="80"/>
      <c r="EW46" s="80"/>
      <c r="EX46" s="80"/>
      <c r="EY46" s="80"/>
      <c r="EZ46" s="80"/>
      <c r="FA46" s="80"/>
      <c r="FB46" s="80"/>
      <c r="FC46" s="80"/>
      <c r="FD46" s="80"/>
      <c r="FE46" s="80"/>
      <c r="FF46" s="80"/>
      <c r="FG46" s="80"/>
      <c r="FH46" s="80"/>
      <c r="FI46" s="80"/>
      <c r="FJ46" s="80"/>
      <c r="FK46" s="80"/>
      <c r="FL46" s="80"/>
      <c r="FM46" s="80"/>
      <c r="FN46" s="80"/>
      <c r="FO46" s="80"/>
      <c r="FP46" s="80"/>
      <c r="FQ46" s="80"/>
      <c r="FR46" s="80"/>
      <c r="FS46" s="80"/>
      <c r="FT46" s="80"/>
      <c r="FU46" s="80"/>
      <c r="FV46" s="80"/>
      <c r="FW46" s="80"/>
      <c r="FX46" s="80"/>
      <c r="FY46" s="80"/>
      <c r="FZ46" s="80"/>
    </row>
    <row r="47" spans="8:182" ht="18" customHeight="1"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  <c r="BL47" s="80"/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0"/>
      <c r="CA47" s="80"/>
      <c r="CB47" s="80"/>
      <c r="CC47" s="80"/>
      <c r="CD47" s="80"/>
      <c r="CE47" s="80"/>
      <c r="CF47" s="80"/>
      <c r="CG47" s="80"/>
      <c r="CH47" s="80"/>
      <c r="CI47" s="80"/>
      <c r="CJ47" s="80"/>
      <c r="CK47" s="80"/>
      <c r="CL47" s="80"/>
      <c r="CM47" s="80"/>
      <c r="CN47" s="80"/>
      <c r="CO47" s="80"/>
      <c r="CP47" s="80"/>
      <c r="CQ47" s="80"/>
      <c r="CR47" s="80"/>
      <c r="CS47" s="80"/>
      <c r="CT47" s="80"/>
      <c r="CU47" s="80"/>
      <c r="CV47" s="80"/>
      <c r="CW47" s="80"/>
      <c r="CX47" s="80"/>
      <c r="CY47" s="80"/>
      <c r="CZ47" s="80"/>
      <c r="DA47" s="80"/>
      <c r="DB47" s="80"/>
      <c r="DC47" s="80"/>
      <c r="DD47" s="80"/>
      <c r="DE47" s="80"/>
      <c r="DF47" s="80"/>
      <c r="DG47" s="80"/>
      <c r="DH47" s="80"/>
      <c r="DI47" s="80"/>
      <c r="DJ47" s="80"/>
      <c r="DK47" s="80"/>
      <c r="DL47" s="80"/>
      <c r="DM47" s="80"/>
      <c r="DN47" s="80"/>
      <c r="DO47" s="80"/>
      <c r="DP47" s="80"/>
      <c r="DQ47" s="80"/>
      <c r="DR47" s="80"/>
      <c r="DS47" s="80"/>
      <c r="DT47" s="80"/>
      <c r="DU47" s="80"/>
      <c r="DV47" s="80"/>
      <c r="DW47" s="80"/>
      <c r="DX47" s="80"/>
      <c r="DY47" s="80"/>
      <c r="DZ47" s="80"/>
      <c r="EA47" s="80"/>
      <c r="EB47" s="80"/>
      <c r="EC47" s="80"/>
      <c r="ED47" s="80"/>
      <c r="EE47" s="80"/>
      <c r="EF47" s="80"/>
      <c r="EG47" s="80"/>
      <c r="EH47" s="80"/>
      <c r="EI47" s="80"/>
      <c r="EJ47" s="80"/>
      <c r="EK47" s="80"/>
      <c r="EL47" s="80"/>
      <c r="EM47" s="80"/>
      <c r="EN47" s="80"/>
      <c r="EO47" s="80"/>
      <c r="EP47" s="80"/>
      <c r="EQ47" s="80"/>
      <c r="ER47" s="80"/>
      <c r="ES47" s="80"/>
      <c r="ET47" s="80"/>
      <c r="EU47" s="80"/>
      <c r="EV47" s="80"/>
      <c r="EW47" s="80"/>
      <c r="EX47" s="80"/>
      <c r="EY47" s="80"/>
      <c r="EZ47" s="80"/>
      <c r="FA47" s="80"/>
      <c r="FB47" s="80"/>
      <c r="FC47" s="80"/>
      <c r="FD47" s="80"/>
      <c r="FE47" s="80"/>
      <c r="FF47" s="80"/>
      <c r="FG47" s="80"/>
      <c r="FH47" s="80"/>
      <c r="FI47" s="80"/>
      <c r="FJ47" s="80"/>
      <c r="FK47" s="80"/>
      <c r="FL47" s="80"/>
      <c r="FM47" s="80"/>
      <c r="FN47" s="80"/>
      <c r="FO47" s="80"/>
      <c r="FP47" s="80"/>
      <c r="FQ47" s="80"/>
      <c r="FR47" s="80"/>
      <c r="FS47" s="80"/>
      <c r="FT47" s="80"/>
      <c r="FU47" s="80"/>
      <c r="FV47" s="80"/>
      <c r="FW47" s="80"/>
      <c r="FX47" s="80"/>
      <c r="FY47" s="80"/>
      <c r="FZ47" s="80"/>
    </row>
    <row r="48" spans="8:182" ht="18" customHeight="1"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0"/>
      <c r="BK48" s="80"/>
      <c r="BL48" s="80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0"/>
      <c r="CA48" s="80"/>
      <c r="CB48" s="80"/>
      <c r="CC48" s="80"/>
      <c r="CD48" s="80"/>
      <c r="CE48" s="80"/>
      <c r="CF48" s="80"/>
      <c r="CG48" s="80"/>
      <c r="CH48" s="80"/>
      <c r="CI48" s="80"/>
      <c r="CJ48" s="80"/>
      <c r="CK48" s="80"/>
      <c r="CL48" s="80"/>
      <c r="CM48" s="80"/>
      <c r="CN48" s="80"/>
      <c r="CO48" s="80"/>
      <c r="CP48" s="80"/>
      <c r="CQ48" s="80"/>
      <c r="CR48" s="80"/>
      <c r="CS48" s="80"/>
      <c r="CT48" s="80"/>
      <c r="CU48" s="80"/>
      <c r="CV48" s="80"/>
      <c r="CW48" s="80"/>
      <c r="CX48" s="80"/>
      <c r="CY48" s="80"/>
      <c r="CZ48" s="80"/>
      <c r="DA48" s="80"/>
      <c r="DB48" s="80"/>
      <c r="DC48" s="80"/>
      <c r="DD48" s="80"/>
      <c r="DE48" s="80"/>
      <c r="DF48" s="80"/>
      <c r="DG48" s="80"/>
      <c r="DH48" s="80"/>
      <c r="DI48" s="80"/>
      <c r="DJ48" s="80"/>
      <c r="DK48" s="80"/>
      <c r="DL48" s="80"/>
      <c r="DM48" s="80"/>
      <c r="DN48" s="80"/>
      <c r="DO48" s="80"/>
      <c r="DP48" s="80"/>
      <c r="DQ48" s="80"/>
      <c r="DR48" s="80"/>
      <c r="DS48" s="80"/>
      <c r="DT48" s="80"/>
      <c r="DU48" s="80"/>
      <c r="DV48" s="80"/>
      <c r="DW48" s="80"/>
      <c r="DX48" s="80"/>
      <c r="DY48" s="80"/>
      <c r="DZ48" s="80"/>
      <c r="EA48" s="80"/>
      <c r="EB48" s="80"/>
      <c r="EC48" s="80"/>
      <c r="ED48" s="80"/>
      <c r="EE48" s="80"/>
      <c r="EF48" s="80"/>
      <c r="EG48" s="80"/>
      <c r="EH48" s="80"/>
      <c r="EI48" s="80"/>
      <c r="EJ48" s="80"/>
      <c r="EK48" s="80"/>
      <c r="EL48" s="80"/>
      <c r="EM48" s="80"/>
      <c r="EN48" s="80"/>
      <c r="EO48" s="80"/>
      <c r="EP48" s="80"/>
      <c r="EQ48" s="80"/>
      <c r="ER48" s="80"/>
      <c r="ES48" s="80"/>
      <c r="ET48" s="80"/>
      <c r="EU48" s="80"/>
      <c r="EV48" s="80"/>
      <c r="EW48" s="80"/>
      <c r="EX48" s="80"/>
      <c r="EY48" s="80"/>
      <c r="EZ48" s="80"/>
      <c r="FA48" s="80"/>
      <c r="FB48" s="80"/>
      <c r="FC48" s="80"/>
      <c r="FD48" s="80"/>
      <c r="FE48" s="80"/>
      <c r="FF48" s="80"/>
      <c r="FG48" s="80"/>
      <c r="FH48" s="80"/>
      <c r="FI48" s="80"/>
      <c r="FJ48" s="80"/>
      <c r="FK48" s="80"/>
      <c r="FL48" s="80"/>
      <c r="FM48" s="80"/>
      <c r="FN48" s="80"/>
      <c r="FO48" s="80"/>
      <c r="FP48" s="80"/>
      <c r="FQ48" s="80"/>
      <c r="FR48" s="80"/>
      <c r="FS48" s="80"/>
      <c r="FT48" s="80"/>
      <c r="FU48" s="80"/>
      <c r="FV48" s="80"/>
      <c r="FW48" s="80"/>
      <c r="FX48" s="80"/>
      <c r="FY48" s="80"/>
      <c r="FZ48" s="80"/>
    </row>
    <row r="49" spans="8:182" ht="18" customHeight="1"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0"/>
      <c r="CA49" s="80"/>
      <c r="CB49" s="80"/>
      <c r="CC49" s="80"/>
      <c r="CD49" s="80"/>
      <c r="CE49" s="80"/>
      <c r="CF49" s="80"/>
      <c r="CG49" s="80"/>
      <c r="CH49" s="80"/>
      <c r="CI49" s="80"/>
      <c r="CJ49" s="80"/>
      <c r="CK49" s="80"/>
      <c r="CL49" s="80"/>
      <c r="CM49" s="80"/>
      <c r="CN49" s="80"/>
      <c r="CO49" s="80"/>
      <c r="CP49" s="80"/>
      <c r="CQ49" s="80"/>
      <c r="CR49" s="80"/>
      <c r="CS49" s="80"/>
      <c r="CT49" s="80"/>
      <c r="CU49" s="80"/>
      <c r="CV49" s="80"/>
      <c r="CW49" s="80"/>
      <c r="CX49" s="80"/>
      <c r="CY49" s="80"/>
      <c r="CZ49" s="80"/>
      <c r="DA49" s="80"/>
      <c r="DB49" s="80"/>
      <c r="DC49" s="80"/>
      <c r="DD49" s="80"/>
      <c r="DE49" s="80"/>
      <c r="DF49" s="80"/>
      <c r="DG49" s="80"/>
      <c r="DH49" s="80"/>
      <c r="DI49" s="80"/>
      <c r="DJ49" s="80"/>
      <c r="DK49" s="80"/>
      <c r="DL49" s="80"/>
      <c r="DM49" s="80"/>
      <c r="DN49" s="80"/>
      <c r="DO49" s="80"/>
      <c r="DP49" s="80"/>
      <c r="DQ49" s="80"/>
      <c r="DR49" s="80"/>
      <c r="DS49" s="80"/>
      <c r="DT49" s="80"/>
      <c r="DU49" s="80"/>
      <c r="DV49" s="80"/>
      <c r="DW49" s="80"/>
      <c r="DX49" s="80"/>
      <c r="DY49" s="80"/>
      <c r="DZ49" s="80"/>
      <c r="EA49" s="80"/>
      <c r="EB49" s="80"/>
      <c r="EC49" s="80"/>
      <c r="ED49" s="80"/>
      <c r="EE49" s="80"/>
      <c r="EF49" s="80"/>
      <c r="EG49" s="80"/>
      <c r="EH49" s="80"/>
      <c r="EI49" s="80"/>
      <c r="EJ49" s="80"/>
      <c r="EK49" s="80"/>
      <c r="EL49" s="80"/>
      <c r="EM49" s="80"/>
      <c r="EN49" s="80"/>
      <c r="EO49" s="80"/>
      <c r="EP49" s="80"/>
      <c r="EQ49" s="80"/>
      <c r="ER49" s="80"/>
      <c r="ES49" s="80"/>
      <c r="ET49" s="80"/>
      <c r="EU49" s="80"/>
      <c r="EV49" s="80"/>
      <c r="EW49" s="80"/>
      <c r="EX49" s="80"/>
      <c r="EY49" s="80"/>
      <c r="EZ49" s="80"/>
      <c r="FA49" s="80"/>
      <c r="FB49" s="80"/>
      <c r="FC49" s="80"/>
      <c r="FD49" s="80"/>
      <c r="FE49" s="80"/>
      <c r="FF49" s="80"/>
      <c r="FG49" s="80"/>
      <c r="FH49" s="80"/>
      <c r="FI49" s="80"/>
      <c r="FJ49" s="80"/>
      <c r="FK49" s="80"/>
      <c r="FL49" s="80"/>
      <c r="FM49" s="80"/>
      <c r="FN49" s="80"/>
      <c r="FO49" s="80"/>
      <c r="FP49" s="80"/>
      <c r="FQ49" s="80"/>
      <c r="FR49" s="80"/>
      <c r="FS49" s="80"/>
      <c r="FT49" s="80"/>
      <c r="FU49" s="80"/>
      <c r="FV49" s="80"/>
      <c r="FW49" s="80"/>
      <c r="FX49" s="80"/>
      <c r="FY49" s="80"/>
      <c r="FZ49" s="80"/>
    </row>
    <row r="50" spans="8:182" ht="18" customHeight="1"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80"/>
      <c r="BQ50" s="80"/>
      <c r="BR50" s="80"/>
      <c r="BS50" s="80"/>
      <c r="BT50" s="80"/>
      <c r="BU50" s="80"/>
      <c r="BV50" s="80"/>
      <c r="BW50" s="80"/>
      <c r="BX50" s="80"/>
      <c r="BY50" s="80"/>
      <c r="BZ50" s="80"/>
      <c r="CA50" s="80"/>
      <c r="CB50" s="80"/>
      <c r="CC50" s="80"/>
      <c r="CD50" s="80"/>
      <c r="CE50" s="80"/>
      <c r="CF50" s="80"/>
      <c r="CG50" s="80"/>
      <c r="CH50" s="80"/>
      <c r="CI50" s="80"/>
      <c r="CJ50" s="80"/>
      <c r="CK50" s="80"/>
      <c r="CL50" s="80"/>
      <c r="CM50" s="80"/>
      <c r="CN50" s="80"/>
      <c r="CO50" s="80"/>
      <c r="CP50" s="80"/>
      <c r="CQ50" s="80"/>
      <c r="CR50" s="80"/>
      <c r="CS50" s="80"/>
      <c r="CT50" s="80"/>
      <c r="CU50" s="80"/>
      <c r="CV50" s="80"/>
      <c r="CW50" s="80"/>
      <c r="CX50" s="80"/>
      <c r="CY50" s="80"/>
      <c r="CZ50" s="80"/>
      <c r="DA50" s="80"/>
      <c r="DB50" s="80"/>
      <c r="DC50" s="80"/>
      <c r="DD50" s="80"/>
      <c r="DE50" s="80"/>
      <c r="DF50" s="80"/>
      <c r="DG50" s="80"/>
      <c r="DH50" s="80"/>
      <c r="DI50" s="80"/>
      <c r="DJ50" s="80"/>
      <c r="DK50" s="80"/>
      <c r="DL50" s="80"/>
      <c r="DM50" s="80"/>
      <c r="DN50" s="80"/>
      <c r="DO50" s="80"/>
      <c r="DP50" s="80"/>
      <c r="DQ50" s="80"/>
      <c r="DR50" s="80"/>
      <c r="DS50" s="80"/>
      <c r="DT50" s="80"/>
      <c r="DU50" s="80"/>
      <c r="DV50" s="80"/>
      <c r="DW50" s="80"/>
      <c r="DX50" s="80"/>
      <c r="DY50" s="80"/>
      <c r="DZ50" s="80"/>
      <c r="EA50" s="80"/>
      <c r="EB50" s="80"/>
      <c r="EC50" s="80"/>
      <c r="ED50" s="80"/>
      <c r="EE50" s="80"/>
      <c r="EF50" s="80"/>
      <c r="EG50" s="80"/>
      <c r="EH50" s="80"/>
      <c r="EI50" s="80"/>
      <c r="EJ50" s="80"/>
      <c r="EK50" s="80"/>
      <c r="EL50" s="80"/>
      <c r="EM50" s="80"/>
      <c r="EN50" s="80"/>
      <c r="EO50" s="80"/>
      <c r="EP50" s="80"/>
      <c r="EQ50" s="80"/>
      <c r="ER50" s="80"/>
      <c r="ES50" s="80"/>
      <c r="ET50" s="80"/>
      <c r="EU50" s="80"/>
      <c r="EV50" s="80"/>
      <c r="EW50" s="80"/>
      <c r="EX50" s="80"/>
      <c r="EY50" s="80"/>
      <c r="EZ50" s="80"/>
      <c r="FA50" s="80"/>
      <c r="FB50" s="80"/>
      <c r="FC50" s="80"/>
      <c r="FD50" s="80"/>
      <c r="FE50" s="80"/>
      <c r="FF50" s="80"/>
      <c r="FG50" s="80"/>
      <c r="FH50" s="80"/>
      <c r="FI50" s="80"/>
      <c r="FJ50" s="80"/>
      <c r="FK50" s="80"/>
      <c r="FL50" s="80"/>
      <c r="FM50" s="80"/>
      <c r="FN50" s="80"/>
      <c r="FO50" s="80"/>
      <c r="FP50" s="80"/>
      <c r="FQ50" s="80"/>
      <c r="FR50" s="80"/>
      <c r="FS50" s="80"/>
      <c r="FT50" s="80"/>
      <c r="FU50" s="80"/>
      <c r="FV50" s="80"/>
      <c r="FW50" s="80"/>
      <c r="FX50" s="80"/>
      <c r="FY50" s="80"/>
      <c r="FZ50" s="80"/>
    </row>
    <row r="51" spans="8:182" ht="18" customHeight="1"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/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0"/>
      <c r="DT51" s="80"/>
      <c r="DU51" s="80"/>
      <c r="DV51" s="80"/>
      <c r="DW51" s="80"/>
      <c r="DX51" s="80"/>
      <c r="DY51" s="80"/>
      <c r="DZ51" s="80"/>
      <c r="EA51" s="80"/>
      <c r="EB51" s="80"/>
      <c r="EC51" s="80"/>
      <c r="ED51" s="80"/>
      <c r="EE51" s="80"/>
      <c r="EF51" s="80"/>
      <c r="EG51" s="80"/>
      <c r="EH51" s="80"/>
      <c r="EI51" s="80"/>
      <c r="EJ51" s="80"/>
      <c r="EK51" s="80"/>
      <c r="EL51" s="80"/>
      <c r="EM51" s="80"/>
      <c r="EN51" s="80"/>
      <c r="EO51" s="80"/>
      <c r="EP51" s="80"/>
      <c r="EQ51" s="80"/>
      <c r="ER51" s="80"/>
      <c r="ES51" s="80"/>
      <c r="ET51" s="80"/>
      <c r="EU51" s="80"/>
      <c r="EV51" s="80"/>
      <c r="EW51" s="80"/>
      <c r="EX51" s="80"/>
      <c r="EY51" s="80"/>
      <c r="EZ51" s="80"/>
      <c r="FA51" s="80"/>
      <c r="FB51" s="80"/>
      <c r="FC51" s="80"/>
      <c r="FD51" s="80"/>
      <c r="FE51" s="80"/>
      <c r="FF51" s="80"/>
      <c r="FG51" s="80"/>
      <c r="FH51" s="80"/>
      <c r="FI51" s="80"/>
      <c r="FJ51" s="80"/>
      <c r="FK51" s="80"/>
      <c r="FL51" s="80"/>
      <c r="FM51" s="80"/>
      <c r="FN51" s="80"/>
      <c r="FO51" s="80"/>
      <c r="FP51" s="80"/>
      <c r="FQ51" s="80"/>
      <c r="FR51" s="80"/>
      <c r="FS51" s="80"/>
      <c r="FT51" s="80"/>
      <c r="FU51" s="80"/>
      <c r="FV51" s="80"/>
      <c r="FW51" s="80"/>
      <c r="FX51" s="80"/>
      <c r="FY51" s="80"/>
      <c r="FZ51" s="80"/>
    </row>
    <row r="52" spans="8:182" ht="18" customHeight="1"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  <c r="EN52" s="80"/>
      <c r="EO52" s="80"/>
      <c r="EP52" s="80"/>
      <c r="EQ52" s="80"/>
      <c r="ER52" s="80"/>
      <c r="ES52" s="80"/>
      <c r="ET52" s="80"/>
      <c r="EU52" s="80"/>
      <c r="EV52" s="80"/>
      <c r="EW52" s="80"/>
      <c r="EX52" s="80"/>
      <c r="EY52" s="80"/>
      <c r="EZ52" s="80"/>
      <c r="FA52" s="80"/>
      <c r="FB52" s="80"/>
      <c r="FC52" s="80"/>
      <c r="FD52" s="80"/>
      <c r="FE52" s="80"/>
      <c r="FF52" s="80"/>
      <c r="FG52" s="80"/>
      <c r="FH52" s="80"/>
      <c r="FI52" s="80"/>
      <c r="FJ52" s="80"/>
      <c r="FK52" s="80"/>
      <c r="FL52" s="80"/>
      <c r="FM52" s="80"/>
      <c r="FN52" s="80"/>
      <c r="FO52" s="80"/>
      <c r="FP52" s="80"/>
      <c r="FQ52" s="80"/>
      <c r="FR52" s="80"/>
      <c r="FS52" s="80"/>
      <c r="FT52" s="80"/>
      <c r="FU52" s="80"/>
      <c r="FV52" s="80"/>
      <c r="FW52" s="80"/>
      <c r="FX52" s="80"/>
      <c r="FY52" s="80"/>
      <c r="FZ52" s="80"/>
    </row>
    <row r="53" spans="8:182" ht="18" customHeight="1"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  <c r="FG53" s="80"/>
      <c r="FH53" s="80"/>
      <c r="FI53" s="80"/>
      <c r="FJ53" s="80"/>
      <c r="FK53" s="80"/>
      <c r="FL53" s="80"/>
      <c r="FM53" s="80"/>
      <c r="FN53" s="80"/>
      <c r="FO53" s="80"/>
      <c r="FP53" s="80"/>
      <c r="FQ53" s="80"/>
      <c r="FR53" s="80"/>
      <c r="FS53" s="80"/>
      <c r="FT53" s="80"/>
      <c r="FU53" s="80"/>
      <c r="FV53" s="80"/>
      <c r="FW53" s="80"/>
      <c r="FX53" s="80"/>
      <c r="FY53" s="80"/>
      <c r="FZ53" s="80"/>
    </row>
    <row r="54" spans="8:182" ht="18" customHeight="1"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  <c r="FG54" s="80"/>
      <c r="FH54" s="80"/>
      <c r="FI54" s="80"/>
      <c r="FJ54" s="80"/>
      <c r="FK54" s="80"/>
      <c r="FL54" s="80"/>
      <c r="FM54" s="80"/>
      <c r="FN54" s="80"/>
      <c r="FO54" s="80"/>
      <c r="FP54" s="80"/>
      <c r="FQ54" s="80"/>
      <c r="FR54" s="80"/>
      <c r="FS54" s="80"/>
      <c r="FT54" s="80"/>
      <c r="FU54" s="80"/>
      <c r="FV54" s="80"/>
      <c r="FW54" s="80"/>
      <c r="FX54" s="80"/>
      <c r="FY54" s="80"/>
      <c r="FZ54" s="80"/>
    </row>
    <row r="55" spans="8:182" ht="18" customHeight="1"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  <c r="FG55" s="80"/>
      <c r="FH55" s="80"/>
      <c r="FI55" s="80"/>
      <c r="FJ55" s="80"/>
      <c r="FK55" s="80"/>
      <c r="FL55" s="80"/>
      <c r="FM55" s="80"/>
      <c r="FN55" s="80"/>
      <c r="FO55" s="80"/>
      <c r="FP55" s="80"/>
      <c r="FQ55" s="80"/>
      <c r="FR55" s="80"/>
      <c r="FS55" s="80"/>
      <c r="FT55" s="80"/>
      <c r="FU55" s="80"/>
      <c r="FV55" s="80"/>
      <c r="FW55" s="80"/>
      <c r="FX55" s="80"/>
      <c r="FY55" s="80"/>
      <c r="FZ55" s="80"/>
    </row>
    <row r="56" spans="8:182" ht="18" customHeight="1"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  <c r="FG56" s="80"/>
      <c r="FH56" s="80"/>
      <c r="FI56" s="80"/>
      <c r="FJ56" s="80"/>
      <c r="FK56" s="80"/>
      <c r="FL56" s="80"/>
      <c r="FM56" s="80"/>
      <c r="FN56" s="80"/>
      <c r="FO56" s="80"/>
      <c r="FP56" s="80"/>
      <c r="FQ56" s="80"/>
      <c r="FR56" s="80"/>
      <c r="FS56" s="80"/>
      <c r="FT56" s="80"/>
      <c r="FU56" s="80"/>
      <c r="FV56" s="80"/>
      <c r="FW56" s="80"/>
      <c r="FX56" s="80"/>
      <c r="FY56" s="80"/>
      <c r="FZ56" s="80"/>
    </row>
    <row r="57" spans="8:182" ht="18" customHeight="1"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  <c r="FG57" s="80"/>
      <c r="FH57" s="80"/>
      <c r="FI57" s="80"/>
      <c r="FJ57" s="80"/>
      <c r="FK57" s="80"/>
      <c r="FL57" s="80"/>
      <c r="FM57" s="80"/>
      <c r="FN57" s="80"/>
      <c r="FO57" s="80"/>
      <c r="FP57" s="80"/>
      <c r="FQ57" s="80"/>
      <c r="FR57" s="80"/>
      <c r="FS57" s="80"/>
      <c r="FT57" s="80"/>
      <c r="FU57" s="80"/>
      <c r="FV57" s="80"/>
      <c r="FW57" s="80"/>
      <c r="FX57" s="80"/>
      <c r="FY57" s="80"/>
      <c r="FZ57" s="80"/>
    </row>
    <row r="58" spans="8:182" ht="18" customHeight="1"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  <c r="FG58" s="80"/>
      <c r="FH58" s="80"/>
      <c r="FI58" s="80"/>
      <c r="FJ58" s="80"/>
      <c r="FK58" s="80"/>
      <c r="FL58" s="80"/>
      <c r="FM58" s="80"/>
      <c r="FN58" s="80"/>
      <c r="FO58" s="80"/>
      <c r="FP58" s="80"/>
      <c r="FQ58" s="80"/>
      <c r="FR58" s="80"/>
      <c r="FS58" s="80"/>
      <c r="FT58" s="80"/>
      <c r="FU58" s="80"/>
      <c r="FV58" s="80"/>
      <c r="FW58" s="80"/>
      <c r="FX58" s="80"/>
      <c r="FY58" s="80"/>
      <c r="FZ58" s="80"/>
    </row>
    <row r="59" spans="8:182" ht="18" customHeight="1"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  <c r="FG59" s="80"/>
      <c r="FH59" s="80"/>
      <c r="FI59" s="80"/>
      <c r="FJ59" s="80"/>
      <c r="FK59" s="80"/>
      <c r="FL59" s="80"/>
      <c r="FM59" s="80"/>
      <c r="FN59" s="80"/>
      <c r="FO59" s="80"/>
      <c r="FP59" s="80"/>
      <c r="FQ59" s="80"/>
      <c r="FR59" s="80"/>
      <c r="FS59" s="80"/>
      <c r="FT59" s="80"/>
      <c r="FU59" s="80"/>
      <c r="FV59" s="80"/>
      <c r="FW59" s="80"/>
      <c r="FX59" s="80"/>
      <c r="FY59" s="80"/>
      <c r="FZ59" s="80"/>
    </row>
    <row r="60" spans="8:182" ht="18" customHeight="1"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  <c r="FG60" s="80"/>
      <c r="FH60" s="80"/>
      <c r="FI60" s="80"/>
      <c r="FJ60" s="80"/>
      <c r="FK60" s="80"/>
      <c r="FL60" s="80"/>
      <c r="FM60" s="80"/>
      <c r="FN60" s="80"/>
      <c r="FO60" s="80"/>
      <c r="FP60" s="80"/>
      <c r="FQ60" s="80"/>
      <c r="FR60" s="80"/>
      <c r="FS60" s="80"/>
      <c r="FT60" s="80"/>
      <c r="FU60" s="80"/>
      <c r="FV60" s="80"/>
      <c r="FW60" s="80"/>
      <c r="FX60" s="80"/>
      <c r="FY60" s="80"/>
      <c r="FZ60" s="80"/>
    </row>
    <row r="61" spans="8:182" ht="18" customHeight="1"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0"/>
      <c r="CA61" s="80"/>
      <c r="CB61" s="80"/>
      <c r="CC61" s="80"/>
      <c r="CD61" s="80"/>
      <c r="CE61" s="80"/>
      <c r="CF61" s="80"/>
      <c r="CG61" s="80"/>
      <c r="CH61" s="80"/>
      <c r="CI61" s="80"/>
      <c r="CJ61" s="80"/>
      <c r="CK61" s="80"/>
      <c r="CL61" s="80"/>
      <c r="CM61" s="80"/>
      <c r="CN61" s="80"/>
      <c r="CO61" s="80"/>
      <c r="CP61" s="80"/>
      <c r="CQ61" s="80"/>
      <c r="CR61" s="80"/>
      <c r="CS61" s="80"/>
      <c r="CT61" s="80"/>
      <c r="CU61" s="80"/>
      <c r="CV61" s="80"/>
      <c r="CW61" s="80"/>
      <c r="CX61" s="80"/>
      <c r="CY61" s="80"/>
      <c r="CZ61" s="80"/>
      <c r="DA61" s="80"/>
      <c r="DB61" s="80"/>
      <c r="DC61" s="80"/>
      <c r="DD61" s="80"/>
      <c r="DE61" s="80"/>
      <c r="DF61" s="80"/>
      <c r="DG61" s="80"/>
      <c r="DH61" s="80"/>
      <c r="DI61" s="80"/>
      <c r="DJ61" s="80"/>
      <c r="DK61" s="80"/>
      <c r="DL61" s="80"/>
      <c r="DM61" s="80"/>
      <c r="DN61" s="80"/>
      <c r="DO61" s="80"/>
      <c r="DP61" s="80"/>
      <c r="DQ61" s="80"/>
      <c r="DR61" s="80"/>
      <c r="DS61" s="80"/>
      <c r="DT61" s="80"/>
      <c r="DU61" s="80"/>
      <c r="DV61" s="80"/>
      <c r="DW61" s="80"/>
      <c r="DX61" s="80"/>
      <c r="DY61" s="80"/>
      <c r="DZ61" s="80"/>
      <c r="EA61" s="80"/>
      <c r="EB61" s="80"/>
      <c r="EC61" s="80"/>
      <c r="ED61" s="80"/>
      <c r="EE61" s="80"/>
      <c r="EF61" s="80"/>
      <c r="EG61" s="80"/>
      <c r="EH61" s="80"/>
      <c r="EI61" s="80"/>
      <c r="EJ61" s="80"/>
      <c r="EK61" s="80"/>
      <c r="EL61" s="80"/>
      <c r="EM61" s="80"/>
      <c r="EN61" s="80"/>
      <c r="EO61" s="80"/>
      <c r="EP61" s="80"/>
      <c r="EQ61" s="80"/>
      <c r="ER61" s="80"/>
      <c r="ES61" s="80"/>
      <c r="ET61" s="80"/>
      <c r="EU61" s="80"/>
      <c r="EV61" s="80"/>
      <c r="EW61" s="80"/>
      <c r="EX61" s="80"/>
      <c r="EY61" s="80"/>
      <c r="EZ61" s="80"/>
      <c r="FA61" s="80"/>
      <c r="FB61" s="80"/>
      <c r="FC61" s="80"/>
      <c r="FD61" s="80"/>
      <c r="FE61" s="80"/>
      <c r="FF61" s="80"/>
      <c r="FG61" s="80"/>
      <c r="FH61" s="80"/>
      <c r="FI61" s="80"/>
      <c r="FJ61" s="80"/>
      <c r="FK61" s="80"/>
      <c r="FL61" s="80"/>
      <c r="FM61" s="80"/>
      <c r="FN61" s="80"/>
      <c r="FO61" s="80"/>
      <c r="FP61" s="80"/>
      <c r="FQ61" s="80"/>
      <c r="FR61" s="80"/>
      <c r="FS61" s="80"/>
      <c r="FT61" s="80"/>
      <c r="FU61" s="80"/>
      <c r="FV61" s="80"/>
      <c r="FW61" s="80"/>
      <c r="FX61" s="80"/>
      <c r="FY61" s="80"/>
      <c r="FZ61" s="80"/>
    </row>
    <row r="62" spans="8:182" ht="18" customHeight="1"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  <c r="BL62" s="80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0"/>
      <c r="CA62" s="80"/>
      <c r="CB62" s="80"/>
      <c r="CC62" s="80"/>
      <c r="CD62" s="80"/>
      <c r="CE62" s="80"/>
      <c r="CF62" s="80"/>
      <c r="CG62" s="80"/>
      <c r="CH62" s="80"/>
      <c r="CI62" s="80"/>
      <c r="CJ62" s="80"/>
      <c r="CK62" s="80"/>
      <c r="CL62" s="80"/>
      <c r="CM62" s="80"/>
      <c r="CN62" s="80"/>
      <c r="CO62" s="80"/>
      <c r="CP62" s="80"/>
      <c r="CQ62" s="80"/>
      <c r="CR62" s="80"/>
      <c r="CS62" s="80"/>
      <c r="CT62" s="80"/>
      <c r="CU62" s="80"/>
      <c r="CV62" s="80"/>
      <c r="CW62" s="80"/>
      <c r="CX62" s="80"/>
      <c r="CY62" s="80"/>
      <c r="CZ62" s="80"/>
      <c r="DA62" s="80"/>
      <c r="DB62" s="80"/>
      <c r="DC62" s="80"/>
      <c r="DD62" s="80"/>
      <c r="DE62" s="80"/>
      <c r="DF62" s="80"/>
      <c r="DG62" s="80"/>
      <c r="DH62" s="80"/>
      <c r="DI62" s="80"/>
      <c r="DJ62" s="80"/>
      <c r="DK62" s="80"/>
      <c r="DL62" s="80"/>
      <c r="DM62" s="80"/>
      <c r="DN62" s="80"/>
      <c r="DO62" s="80"/>
      <c r="DP62" s="80"/>
      <c r="DQ62" s="80"/>
      <c r="DR62" s="80"/>
      <c r="DS62" s="80"/>
      <c r="DT62" s="80"/>
      <c r="DU62" s="80"/>
      <c r="DV62" s="80"/>
      <c r="DW62" s="80"/>
      <c r="DX62" s="80"/>
      <c r="DY62" s="80"/>
      <c r="DZ62" s="80"/>
      <c r="EA62" s="80"/>
      <c r="EB62" s="80"/>
      <c r="EC62" s="80"/>
      <c r="ED62" s="80"/>
      <c r="EE62" s="80"/>
      <c r="EF62" s="80"/>
      <c r="EG62" s="80"/>
      <c r="EH62" s="80"/>
      <c r="EI62" s="80"/>
      <c r="EJ62" s="80"/>
      <c r="EK62" s="80"/>
      <c r="EL62" s="80"/>
      <c r="EM62" s="80"/>
      <c r="EN62" s="80"/>
      <c r="EO62" s="80"/>
      <c r="EP62" s="80"/>
      <c r="EQ62" s="80"/>
      <c r="ER62" s="80"/>
      <c r="ES62" s="80"/>
      <c r="ET62" s="80"/>
      <c r="EU62" s="80"/>
      <c r="EV62" s="80"/>
      <c r="EW62" s="80"/>
      <c r="EX62" s="80"/>
      <c r="EY62" s="80"/>
      <c r="EZ62" s="80"/>
      <c r="FA62" s="80"/>
      <c r="FB62" s="80"/>
      <c r="FC62" s="80"/>
      <c r="FD62" s="80"/>
      <c r="FE62" s="80"/>
      <c r="FF62" s="80"/>
      <c r="FG62" s="80"/>
      <c r="FH62" s="80"/>
      <c r="FI62" s="80"/>
      <c r="FJ62" s="80"/>
      <c r="FK62" s="80"/>
      <c r="FL62" s="80"/>
      <c r="FM62" s="80"/>
      <c r="FN62" s="80"/>
      <c r="FO62" s="80"/>
      <c r="FP62" s="80"/>
      <c r="FQ62" s="80"/>
      <c r="FR62" s="80"/>
      <c r="FS62" s="80"/>
      <c r="FT62" s="80"/>
      <c r="FU62" s="80"/>
      <c r="FV62" s="80"/>
      <c r="FW62" s="80"/>
      <c r="FX62" s="80"/>
      <c r="FY62" s="80"/>
      <c r="FZ62" s="80"/>
    </row>
    <row r="63" spans="8:182" ht="18" customHeight="1"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  <c r="BL63" s="80"/>
      <c r="BM63" s="80"/>
      <c r="BN63" s="80"/>
      <c r="BO63" s="80"/>
      <c r="BP63" s="80"/>
      <c r="BQ63" s="80"/>
      <c r="BR63" s="80"/>
      <c r="BS63" s="80"/>
      <c r="BT63" s="80"/>
      <c r="BU63" s="80"/>
      <c r="BV63" s="80"/>
      <c r="BW63" s="80"/>
      <c r="BX63" s="80"/>
      <c r="BY63" s="80"/>
      <c r="BZ63" s="80"/>
      <c r="CA63" s="80"/>
      <c r="CB63" s="80"/>
      <c r="CC63" s="80"/>
      <c r="CD63" s="80"/>
      <c r="CE63" s="80"/>
      <c r="CF63" s="80"/>
      <c r="CG63" s="80"/>
      <c r="CH63" s="80"/>
      <c r="CI63" s="80"/>
      <c r="CJ63" s="80"/>
      <c r="CK63" s="80"/>
      <c r="CL63" s="80"/>
      <c r="CM63" s="80"/>
      <c r="CN63" s="80"/>
      <c r="CO63" s="80"/>
      <c r="CP63" s="80"/>
      <c r="CQ63" s="80"/>
      <c r="CR63" s="80"/>
      <c r="CS63" s="80"/>
      <c r="CT63" s="80"/>
      <c r="CU63" s="80"/>
      <c r="CV63" s="80"/>
      <c r="CW63" s="80"/>
      <c r="CX63" s="80"/>
      <c r="CY63" s="80"/>
      <c r="CZ63" s="80"/>
      <c r="DA63" s="80"/>
      <c r="DB63" s="80"/>
      <c r="DC63" s="80"/>
      <c r="DD63" s="80"/>
      <c r="DE63" s="80"/>
      <c r="DF63" s="80"/>
      <c r="DG63" s="80"/>
      <c r="DH63" s="80"/>
      <c r="DI63" s="80"/>
      <c r="DJ63" s="80"/>
      <c r="DK63" s="80"/>
      <c r="DL63" s="80"/>
      <c r="DM63" s="80"/>
      <c r="DN63" s="80"/>
      <c r="DO63" s="80"/>
      <c r="DP63" s="80"/>
      <c r="DQ63" s="80"/>
      <c r="DR63" s="80"/>
      <c r="DS63" s="80"/>
      <c r="DT63" s="80"/>
      <c r="DU63" s="80"/>
      <c r="DV63" s="80"/>
      <c r="DW63" s="80"/>
      <c r="DX63" s="80"/>
      <c r="DY63" s="80"/>
      <c r="DZ63" s="80"/>
      <c r="EA63" s="80"/>
      <c r="EB63" s="80"/>
      <c r="EC63" s="80"/>
      <c r="ED63" s="80"/>
      <c r="EE63" s="80"/>
      <c r="EF63" s="80"/>
      <c r="EG63" s="80"/>
      <c r="EH63" s="80"/>
      <c r="EI63" s="80"/>
      <c r="EJ63" s="80"/>
      <c r="EK63" s="80"/>
      <c r="EL63" s="80"/>
      <c r="EM63" s="80"/>
      <c r="EN63" s="80"/>
      <c r="EO63" s="80"/>
      <c r="EP63" s="80"/>
      <c r="EQ63" s="80"/>
      <c r="ER63" s="80"/>
      <c r="ES63" s="80"/>
      <c r="ET63" s="80"/>
      <c r="EU63" s="80"/>
      <c r="EV63" s="80"/>
      <c r="EW63" s="80"/>
      <c r="EX63" s="80"/>
      <c r="EY63" s="80"/>
      <c r="EZ63" s="80"/>
      <c r="FA63" s="80"/>
      <c r="FB63" s="80"/>
      <c r="FC63" s="80"/>
      <c r="FD63" s="80"/>
      <c r="FE63" s="80"/>
      <c r="FF63" s="80"/>
      <c r="FG63" s="80"/>
      <c r="FH63" s="80"/>
      <c r="FI63" s="80"/>
      <c r="FJ63" s="80"/>
      <c r="FK63" s="80"/>
      <c r="FL63" s="80"/>
      <c r="FM63" s="80"/>
      <c r="FN63" s="80"/>
      <c r="FO63" s="80"/>
      <c r="FP63" s="80"/>
      <c r="FQ63" s="80"/>
      <c r="FR63" s="80"/>
      <c r="FS63" s="80"/>
      <c r="FT63" s="80"/>
      <c r="FU63" s="80"/>
      <c r="FV63" s="80"/>
      <c r="FW63" s="80"/>
      <c r="FX63" s="80"/>
      <c r="FY63" s="80"/>
      <c r="FZ63" s="80"/>
    </row>
    <row r="64" spans="8:182" ht="18" customHeight="1"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G64" s="80"/>
      <c r="BH64" s="80"/>
      <c r="BI64" s="80"/>
      <c r="BJ64" s="80"/>
      <c r="BK64" s="80"/>
      <c r="BL64" s="80"/>
      <c r="BM64" s="80"/>
      <c r="BN64" s="80"/>
      <c r="BO64" s="80"/>
      <c r="BP64" s="80"/>
      <c r="BQ64" s="80"/>
      <c r="BR64" s="80"/>
      <c r="BS64" s="80"/>
      <c r="BT64" s="80"/>
      <c r="BU64" s="80"/>
      <c r="BV64" s="80"/>
      <c r="BW64" s="80"/>
      <c r="BX64" s="80"/>
      <c r="BY64" s="80"/>
      <c r="BZ64" s="80"/>
      <c r="CA64" s="80"/>
      <c r="CB64" s="80"/>
      <c r="CC64" s="80"/>
      <c r="CD64" s="80"/>
      <c r="CE64" s="80"/>
      <c r="CF64" s="80"/>
      <c r="CG64" s="80"/>
      <c r="CH64" s="80"/>
      <c r="CI64" s="80"/>
      <c r="CJ64" s="80"/>
      <c r="CK64" s="80"/>
      <c r="CL64" s="80"/>
      <c r="CM64" s="80"/>
      <c r="CN64" s="80"/>
      <c r="CO64" s="80"/>
      <c r="CP64" s="80"/>
      <c r="CQ64" s="80"/>
      <c r="CR64" s="80"/>
      <c r="CS64" s="80"/>
      <c r="CT64" s="80"/>
      <c r="CU64" s="80"/>
      <c r="CV64" s="80"/>
      <c r="CW64" s="80"/>
      <c r="CX64" s="80"/>
      <c r="CY64" s="80"/>
      <c r="CZ64" s="80"/>
      <c r="DA64" s="80"/>
      <c r="DB64" s="80"/>
      <c r="DC64" s="80"/>
      <c r="DD64" s="80"/>
      <c r="DE64" s="80"/>
      <c r="DF64" s="80"/>
      <c r="DG64" s="80"/>
      <c r="DH64" s="80"/>
      <c r="DI64" s="80"/>
      <c r="DJ64" s="80"/>
      <c r="DK64" s="80"/>
      <c r="DL64" s="80"/>
      <c r="DM64" s="80"/>
      <c r="DN64" s="80"/>
      <c r="DO64" s="80"/>
      <c r="DP64" s="80"/>
      <c r="DQ64" s="80"/>
      <c r="DR64" s="80"/>
      <c r="DS64" s="80"/>
      <c r="DT64" s="80"/>
      <c r="DU64" s="80"/>
      <c r="DV64" s="80"/>
      <c r="DW64" s="80"/>
      <c r="DX64" s="80"/>
      <c r="DY64" s="80"/>
      <c r="DZ64" s="80"/>
      <c r="EA64" s="80"/>
      <c r="EB64" s="80"/>
      <c r="EC64" s="80"/>
      <c r="ED64" s="80"/>
      <c r="EE64" s="80"/>
      <c r="EF64" s="80"/>
      <c r="EG64" s="80"/>
      <c r="EH64" s="80"/>
      <c r="EI64" s="80"/>
      <c r="EJ64" s="80"/>
      <c r="EK64" s="80"/>
      <c r="EL64" s="80"/>
      <c r="EM64" s="80"/>
      <c r="EN64" s="80"/>
      <c r="EO64" s="80"/>
      <c r="EP64" s="80"/>
      <c r="EQ64" s="80"/>
      <c r="ER64" s="80"/>
      <c r="ES64" s="80"/>
      <c r="ET64" s="80"/>
      <c r="EU64" s="80"/>
      <c r="EV64" s="80"/>
      <c r="EW64" s="80"/>
      <c r="EX64" s="80"/>
      <c r="EY64" s="80"/>
      <c r="EZ64" s="80"/>
      <c r="FA64" s="80"/>
      <c r="FB64" s="80"/>
      <c r="FC64" s="80"/>
      <c r="FD64" s="80"/>
      <c r="FE64" s="80"/>
      <c r="FF64" s="80"/>
      <c r="FG64" s="80"/>
      <c r="FH64" s="80"/>
      <c r="FI64" s="80"/>
      <c r="FJ64" s="80"/>
      <c r="FK64" s="80"/>
      <c r="FL64" s="80"/>
      <c r="FM64" s="80"/>
      <c r="FN64" s="80"/>
      <c r="FO64" s="80"/>
      <c r="FP64" s="80"/>
      <c r="FQ64" s="80"/>
      <c r="FR64" s="80"/>
      <c r="FS64" s="80"/>
      <c r="FT64" s="80"/>
      <c r="FU64" s="80"/>
      <c r="FV64" s="80"/>
      <c r="FW64" s="80"/>
      <c r="FX64" s="80"/>
      <c r="FY64" s="80"/>
      <c r="FZ64" s="80"/>
    </row>
    <row r="65" spans="8:182" ht="18" customHeight="1"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0"/>
      <c r="BD65" s="80"/>
      <c r="BE65" s="80"/>
      <c r="BF65" s="80"/>
      <c r="BG65" s="80"/>
      <c r="BH65" s="80"/>
      <c r="BI65" s="80"/>
      <c r="BJ65" s="80"/>
      <c r="BK65" s="80"/>
      <c r="BL65" s="80"/>
      <c r="BM65" s="80"/>
      <c r="BN65" s="80"/>
      <c r="BO65" s="80"/>
      <c r="BP65" s="80"/>
      <c r="BQ65" s="80"/>
      <c r="BR65" s="80"/>
      <c r="BS65" s="80"/>
      <c r="BT65" s="80"/>
      <c r="BU65" s="80"/>
      <c r="BV65" s="80"/>
      <c r="BW65" s="80"/>
      <c r="BX65" s="80"/>
      <c r="BY65" s="80"/>
      <c r="BZ65" s="80"/>
      <c r="CA65" s="80"/>
      <c r="CB65" s="80"/>
      <c r="CC65" s="80"/>
      <c r="CD65" s="80"/>
      <c r="CE65" s="80"/>
      <c r="CF65" s="80"/>
      <c r="CG65" s="80"/>
      <c r="CH65" s="80"/>
      <c r="CI65" s="80"/>
      <c r="CJ65" s="80"/>
      <c r="CK65" s="80"/>
      <c r="CL65" s="80"/>
      <c r="CM65" s="80"/>
      <c r="CN65" s="80"/>
      <c r="CO65" s="80"/>
      <c r="CP65" s="80"/>
      <c r="CQ65" s="80"/>
      <c r="CR65" s="80"/>
      <c r="CS65" s="80"/>
      <c r="CT65" s="80"/>
      <c r="CU65" s="80"/>
      <c r="CV65" s="80"/>
      <c r="CW65" s="80"/>
      <c r="CX65" s="80"/>
      <c r="CY65" s="80"/>
      <c r="CZ65" s="80"/>
      <c r="DA65" s="80"/>
      <c r="DB65" s="80"/>
      <c r="DC65" s="80"/>
      <c r="DD65" s="80"/>
      <c r="DE65" s="80"/>
      <c r="DF65" s="80"/>
      <c r="DG65" s="80"/>
      <c r="DH65" s="80"/>
      <c r="DI65" s="80"/>
      <c r="DJ65" s="80"/>
      <c r="DK65" s="80"/>
      <c r="DL65" s="80"/>
      <c r="DM65" s="80"/>
      <c r="DN65" s="80"/>
      <c r="DO65" s="80"/>
      <c r="DP65" s="80"/>
      <c r="DQ65" s="80"/>
      <c r="DR65" s="80"/>
      <c r="DS65" s="80"/>
      <c r="DT65" s="80"/>
      <c r="DU65" s="80"/>
      <c r="DV65" s="80"/>
      <c r="DW65" s="80"/>
      <c r="DX65" s="80"/>
      <c r="DY65" s="80"/>
      <c r="DZ65" s="80"/>
      <c r="EA65" s="80"/>
      <c r="EB65" s="80"/>
      <c r="EC65" s="80"/>
      <c r="ED65" s="80"/>
      <c r="EE65" s="80"/>
      <c r="EF65" s="80"/>
      <c r="EG65" s="80"/>
      <c r="EH65" s="80"/>
      <c r="EI65" s="80"/>
      <c r="EJ65" s="80"/>
      <c r="EK65" s="80"/>
      <c r="EL65" s="80"/>
      <c r="EM65" s="80"/>
      <c r="EN65" s="80"/>
      <c r="EO65" s="80"/>
      <c r="EP65" s="80"/>
      <c r="EQ65" s="80"/>
      <c r="ER65" s="80"/>
      <c r="ES65" s="80"/>
      <c r="ET65" s="80"/>
      <c r="EU65" s="80"/>
      <c r="EV65" s="80"/>
      <c r="EW65" s="80"/>
      <c r="EX65" s="80"/>
      <c r="EY65" s="80"/>
      <c r="EZ65" s="80"/>
      <c r="FA65" s="80"/>
      <c r="FB65" s="80"/>
      <c r="FC65" s="80"/>
      <c r="FD65" s="80"/>
      <c r="FE65" s="80"/>
      <c r="FF65" s="80"/>
      <c r="FG65" s="80"/>
      <c r="FH65" s="80"/>
      <c r="FI65" s="80"/>
      <c r="FJ65" s="80"/>
      <c r="FK65" s="80"/>
      <c r="FL65" s="80"/>
      <c r="FM65" s="80"/>
      <c r="FN65" s="80"/>
      <c r="FO65" s="80"/>
      <c r="FP65" s="80"/>
      <c r="FQ65" s="80"/>
      <c r="FR65" s="80"/>
      <c r="FS65" s="80"/>
      <c r="FT65" s="80"/>
      <c r="FU65" s="80"/>
      <c r="FV65" s="80"/>
      <c r="FW65" s="80"/>
      <c r="FX65" s="80"/>
      <c r="FY65" s="80"/>
      <c r="FZ65" s="80"/>
    </row>
    <row r="66" spans="8:182" ht="18" customHeight="1"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0"/>
      <c r="BD66" s="80"/>
      <c r="BE66" s="80"/>
      <c r="BF66" s="80"/>
      <c r="BG66" s="80"/>
      <c r="BH66" s="80"/>
      <c r="BI66" s="80"/>
      <c r="BJ66" s="80"/>
      <c r="BK66" s="80"/>
      <c r="BL66" s="80"/>
      <c r="BM66" s="80"/>
      <c r="BN66" s="80"/>
      <c r="BO66" s="80"/>
      <c r="BP66" s="80"/>
      <c r="BQ66" s="80"/>
      <c r="BR66" s="80"/>
      <c r="BS66" s="80"/>
      <c r="BT66" s="80"/>
      <c r="BU66" s="80"/>
      <c r="BV66" s="80"/>
      <c r="BW66" s="80"/>
      <c r="BX66" s="80"/>
      <c r="BY66" s="80"/>
      <c r="BZ66" s="80"/>
      <c r="CA66" s="80"/>
      <c r="CB66" s="80"/>
      <c r="CC66" s="80"/>
      <c r="CD66" s="80"/>
      <c r="CE66" s="80"/>
      <c r="CF66" s="80"/>
      <c r="CG66" s="80"/>
      <c r="CH66" s="80"/>
      <c r="CI66" s="80"/>
      <c r="CJ66" s="80"/>
      <c r="CK66" s="80"/>
      <c r="CL66" s="80"/>
      <c r="CM66" s="80"/>
      <c r="CN66" s="80"/>
      <c r="CO66" s="80"/>
      <c r="CP66" s="80"/>
      <c r="CQ66" s="80"/>
      <c r="CR66" s="80"/>
      <c r="CS66" s="80"/>
      <c r="CT66" s="80"/>
      <c r="CU66" s="80"/>
      <c r="CV66" s="80"/>
      <c r="CW66" s="80"/>
      <c r="CX66" s="80"/>
      <c r="CY66" s="80"/>
      <c r="CZ66" s="80"/>
      <c r="DA66" s="80"/>
      <c r="DB66" s="80"/>
      <c r="DC66" s="80"/>
      <c r="DD66" s="80"/>
      <c r="DE66" s="80"/>
      <c r="DF66" s="80"/>
      <c r="DG66" s="80"/>
      <c r="DH66" s="80"/>
      <c r="DI66" s="80"/>
      <c r="DJ66" s="80"/>
      <c r="DK66" s="80"/>
      <c r="DL66" s="80"/>
      <c r="DM66" s="80"/>
      <c r="DN66" s="80"/>
      <c r="DO66" s="80"/>
      <c r="DP66" s="80"/>
      <c r="DQ66" s="80"/>
      <c r="DR66" s="80"/>
      <c r="DS66" s="80"/>
      <c r="DT66" s="80"/>
      <c r="DU66" s="80"/>
      <c r="DV66" s="80"/>
      <c r="DW66" s="80"/>
      <c r="DX66" s="80"/>
      <c r="DY66" s="80"/>
      <c r="DZ66" s="80"/>
      <c r="EA66" s="80"/>
      <c r="EB66" s="80"/>
      <c r="EC66" s="80"/>
      <c r="ED66" s="80"/>
      <c r="EE66" s="80"/>
      <c r="EF66" s="80"/>
      <c r="EG66" s="80"/>
      <c r="EH66" s="80"/>
      <c r="EI66" s="80"/>
      <c r="EJ66" s="80"/>
      <c r="EK66" s="80"/>
      <c r="EL66" s="80"/>
      <c r="EM66" s="80"/>
      <c r="EN66" s="80"/>
      <c r="EO66" s="80"/>
      <c r="EP66" s="80"/>
      <c r="EQ66" s="80"/>
      <c r="ER66" s="80"/>
      <c r="ES66" s="80"/>
      <c r="ET66" s="80"/>
      <c r="EU66" s="80"/>
      <c r="EV66" s="80"/>
      <c r="EW66" s="80"/>
      <c r="EX66" s="80"/>
      <c r="EY66" s="80"/>
      <c r="EZ66" s="80"/>
      <c r="FA66" s="80"/>
      <c r="FB66" s="80"/>
      <c r="FC66" s="80"/>
      <c r="FD66" s="80"/>
      <c r="FE66" s="80"/>
      <c r="FF66" s="80"/>
      <c r="FG66" s="80"/>
      <c r="FH66" s="80"/>
      <c r="FI66" s="80"/>
      <c r="FJ66" s="80"/>
      <c r="FK66" s="80"/>
      <c r="FL66" s="80"/>
      <c r="FM66" s="80"/>
      <c r="FN66" s="80"/>
      <c r="FO66" s="80"/>
      <c r="FP66" s="80"/>
      <c r="FQ66" s="80"/>
      <c r="FR66" s="80"/>
      <c r="FS66" s="80"/>
      <c r="FT66" s="80"/>
      <c r="FU66" s="80"/>
      <c r="FV66" s="80"/>
      <c r="FW66" s="80"/>
      <c r="FX66" s="80"/>
      <c r="FY66" s="80"/>
      <c r="FZ66" s="80"/>
    </row>
    <row r="67" spans="8:182" ht="18" customHeight="1"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80"/>
      <c r="BL67" s="80"/>
      <c r="BM67" s="80"/>
      <c r="BN67" s="80"/>
      <c r="BO67" s="80"/>
      <c r="BP67" s="80"/>
      <c r="BQ67" s="80"/>
      <c r="BR67" s="80"/>
      <c r="BS67" s="80"/>
      <c r="BT67" s="80"/>
      <c r="BU67" s="80"/>
      <c r="BV67" s="80"/>
      <c r="BW67" s="80"/>
      <c r="BX67" s="80"/>
      <c r="BY67" s="80"/>
      <c r="BZ67" s="80"/>
      <c r="CA67" s="80"/>
      <c r="CB67" s="80"/>
      <c r="CC67" s="80"/>
      <c r="CD67" s="80"/>
      <c r="CE67" s="80"/>
      <c r="CF67" s="80"/>
      <c r="CG67" s="80"/>
      <c r="CH67" s="80"/>
      <c r="CI67" s="80"/>
      <c r="CJ67" s="80"/>
      <c r="CK67" s="80"/>
      <c r="CL67" s="80"/>
      <c r="CM67" s="80"/>
      <c r="CN67" s="80"/>
      <c r="CO67" s="80"/>
      <c r="CP67" s="80"/>
      <c r="CQ67" s="80"/>
      <c r="CR67" s="80"/>
      <c r="CS67" s="80"/>
      <c r="CT67" s="80"/>
      <c r="CU67" s="80"/>
      <c r="CV67" s="80"/>
      <c r="CW67" s="80"/>
      <c r="CX67" s="80"/>
      <c r="CY67" s="80"/>
      <c r="CZ67" s="80"/>
      <c r="DA67" s="80"/>
      <c r="DB67" s="80"/>
      <c r="DC67" s="80"/>
      <c r="DD67" s="80"/>
      <c r="DE67" s="80"/>
      <c r="DF67" s="80"/>
      <c r="DG67" s="80"/>
      <c r="DH67" s="80"/>
      <c r="DI67" s="80"/>
      <c r="DJ67" s="80"/>
      <c r="DK67" s="80"/>
      <c r="DL67" s="80"/>
      <c r="DM67" s="80"/>
      <c r="DN67" s="80"/>
      <c r="DO67" s="80"/>
      <c r="DP67" s="80"/>
      <c r="DQ67" s="80"/>
      <c r="DR67" s="80"/>
      <c r="DS67" s="80"/>
      <c r="DT67" s="80"/>
      <c r="DU67" s="80"/>
      <c r="DV67" s="80"/>
      <c r="DW67" s="80"/>
      <c r="DX67" s="80"/>
      <c r="DY67" s="80"/>
      <c r="DZ67" s="80"/>
      <c r="EA67" s="80"/>
      <c r="EB67" s="80"/>
      <c r="EC67" s="80"/>
      <c r="ED67" s="80"/>
      <c r="EE67" s="80"/>
      <c r="EF67" s="80"/>
      <c r="EG67" s="80"/>
      <c r="EH67" s="80"/>
      <c r="EI67" s="80"/>
      <c r="EJ67" s="80"/>
      <c r="EK67" s="80"/>
      <c r="EL67" s="80"/>
      <c r="EM67" s="80"/>
      <c r="EN67" s="80"/>
      <c r="EO67" s="80"/>
      <c r="EP67" s="80"/>
      <c r="EQ67" s="80"/>
      <c r="ER67" s="80"/>
      <c r="ES67" s="80"/>
      <c r="ET67" s="80"/>
      <c r="EU67" s="80"/>
      <c r="EV67" s="80"/>
      <c r="EW67" s="80"/>
      <c r="EX67" s="80"/>
      <c r="EY67" s="80"/>
      <c r="EZ67" s="80"/>
      <c r="FA67" s="80"/>
      <c r="FB67" s="80"/>
      <c r="FC67" s="80"/>
      <c r="FD67" s="80"/>
      <c r="FE67" s="80"/>
      <c r="FF67" s="80"/>
      <c r="FG67" s="80"/>
      <c r="FH67" s="80"/>
      <c r="FI67" s="80"/>
      <c r="FJ67" s="80"/>
      <c r="FK67" s="80"/>
      <c r="FL67" s="80"/>
      <c r="FM67" s="80"/>
      <c r="FN67" s="80"/>
      <c r="FO67" s="80"/>
      <c r="FP67" s="80"/>
      <c r="FQ67" s="80"/>
      <c r="FR67" s="80"/>
      <c r="FS67" s="80"/>
      <c r="FT67" s="80"/>
      <c r="FU67" s="80"/>
      <c r="FV67" s="80"/>
      <c r="FW67" s="80"/>
      <c r="FX67" s="80"/>
      <c r="FY67" s="80"/>
      <c r="FZ67" s="80"/>
    </row>
    <row r="68" spans="8:182" ht="18" customHeight="1"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  <c r="BL68" s="80"/>
      <c r="BM68" s="80"/>
      <c r="BN68" s="80"/>
      <c r="BO68" s="80"/>
      <c r="BP68" s="80"/>
      <c r="BQ68" s="80"/>
      <c r="BR68" s="80"/>
      <c r="BS68" s="80"/>
      <c r="BT68" s="80"/>
      <c r="BU68" s="80"/>
      <c r="BV68" s="80"/>
      <c r="BW68" s="80"/>
      <c r="BX68" s="80"/>
      <c r="BY68" s="80"/>
      <c r="BZ68" s="80"/>
      <c r="CA68" s="80"/>
      <c r="CB68" s="80"/>
      <c r="CC68" s="80"/>
      <c r="CD68" s="80"/>
      <c r="CE68" s="80"/>
      <c r="CF68" s="80"/>
      <c r="CG68" s="80"/>
      <c r="CH68" s="80"/>
      <c r="CI68" s="80"/>
      <c r="CJ68" s="80"/>
      <c r="CK68" s="80"/>
      <c r="CL68" s="80"/>
      <c r="CM68" s="80"/>
      <c r="CN68" s="80"/>
      <c r="CO68" s="80"/>
      <c r="CP68" s="80"/>
      <c r="CQ68" s="80"/>
      <c r="CR68" s="80"/>
      <c r="CS68" s="80"/>
      <c r="CT68" s="80"/>
      <c r="CU68" s="80"/>
      <c r="CV68" s="80"/>
      <c r="CW68" s="80"/>
      <c r="CX68" s="80"/>
      <c r="CY68" s="80"/>
      <c r="CZ68" s="80"/>
      <c r="DA68" s="80"/>
      <c r="DB68" s="80"/>
      <c r="DC68" s="80"/>
      <c r="DD68" s="80"/>
      <c r="DE68" s="80"/>
      <c r="DF68" s="80"/>
      <c r="DG68" s="80"/>
      <c r="DH68" s="80"/>
      <c r="DI68" s="80"/>
      <c r="DJ68" s="80"/>
      <c r="DK68" s="80"/>
      <c r="DL68" s="80"/>
      <c r="DM68" s="80"/>
      <c r="DN68" s="80"/>
      <c r="DO68" s="80"/>
      <c r="DP68" s="80"/>
      <c r="DQ68" s="80"/>
      <c r="DR68" s="80"/>
      <c r="DS68" s="80"/>
      <c r="DT68" s="80"/>
      <c r="DU68" s="80"/>
      <c r="DV68" s="80"/>
      <c r="DW68" s="80"/>
      <c r="DX68" s="80"/>
      <c r="DY68" s="80"/>
      <c r="DZ68" s="80"/>
      <c r="EA68" s="80"/>
      <c r="EB68" s="80"/>
      <c r="EC68" s="80"/>
      <c r="ED68" s="80"/>
      <c r="EE68" s="80"/>
      <c r="EF68" s="80"/>
      <c r="EG68" s="80"/>
      <c r="EH68" s="80"/>
      <c r="EI68" s="80"/>
      <c r="EJ68" s="80"/>
      <c r="EK68" s="80"/>
      <c r="EL68" s="80"/>
      <c r="EM68" s="80"/>
      <c r="EN68" s="80"/>
      <c r="EO68" s="80"/>
      <c r="EP68" s="80"/>
      <c r="EQ68" s="80"/>
      <c r="ER68" s="80"/>
      <c r="ES68" s="80"/>
      <c r="ET68" s="80"/>
      <c r="EU68" s="80"/>
      <c r="EV68" s="80"/>
      <c r="EW68" s="80"/>
      <c r="EX68" s="80"/>
      <c r="EY68" s="80"/>
      <c r="EZ68" s="80"/>
      <c r="FA68" s="80"/>
      <c r="FB68" s="80"/>
      <c r="FC68" s="80"/>
      <c r="FD68" s="80"/>
      <c r="FE68" s="80"/>
      <c r="FF68" s="80"/>
      <c r="FG68" s="80"/>
      <c r="FH68" s="80"/>
      <c r="FI68" s="80"/>
      <c r="FJ68" s="80"/>
      <c r="FK68" s="80"/>
      <c r="FL68" s="80"/>
      <c r="FM68" s="80"/>
      <c r="FN68" s="80"/>
      <c r="FO68" s="80"/>
      <c r="FP68" s="80"/>
      <c r="FQ68" s="80"/>
      <c r="FR68" s="80"/>
      <c r="FS68" s="80"/>
      <c r="FT68" s="80"/>
      <c r="FU68" s="80"/>
      <c r="FV68" s="80"/>
      <c r="FW68" s="80"/>
      <c r="FX68" s="80"/>
      <c r="FY68" s="80"/>
      <c r="FZ68" s="80"/>
    </row>
    <row r="69" spans="8:182" ht="18" customHeight="1"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0"/>
      <c r="BD69" s="80"/>
      <c r="BE69" s="80"/>
      <c r="BF69" s="80"/>
      <c r="BG69" s="80"/>
      <c r="BH69" s="80"/>
      <c r="BI69" s="80"/>
      <c r="BJ69" s="80"/>
      <c r="BK69" s="80"/>
      <c r="BL69" s="80"/>
      <c r="BM69" s="80"/>
      <c r="BN69" s="80"/>
      <c r="BO69" s="80"/>
      <c r="BP69" s="80"/>
      <c r="BQ69" s="80"/>
      <c r="BR69" s="80"/>
      <c r="BS69" s="80"/>
      <c r="BT69" s="80"/>
      <c r="BU69" s="80"/>
      <c r="BV69" s="80"/>
      <c r="BW69" s="80"/>
      <c r="BX69" s="80"/>
      <c r="BY69" s="80"/>
      <c r="BZ69" s="80"/>
      <c r="CA69" s="80"/>
      <c r="CB69" s="80"/>
      <c r="CC69" s="80"/>
      <c r="CD69" s="80"/>
      <c r="CE69" s="80"/>
      <c r="CF69" s="80"/>
      <c r="CG69" s="80"/>
      <c r="CH69" s="80"/>
      <c r="CI69" s="80"/>
      <c r="CJ69" s="80"/>
      <c r="CK69" s="80"/>
      <c r="CL69" s="80"/>
      <c r="CM69" s="80"/>
      <c r="CN69" s="80"/>
      <c r="CO69" s="80"/>
      <c r="CP69" s="80"/>
      <c r="CQ69" s="80"/>
      <c r="CR69" s="80"/>
      <c r="CS69" s="80"/>
      <c r="CT69" s="80"/>
      <c r="CU69" s="80"/>
      <c r="CV69" s="80"/>
      <c r="CW69" s="80"/>
      <c r="CX69" s="80"/>
      <c r="CY69" s="80"/>
      <c r="CZ69" s="80"/>
      <c r="DA69" s="80"/>
      <c r="DB69" s="80"/>
      <c r="DC69" s="80"/>
      <c r="DD69" s="80"/>
      <c r="DE69" s="80"/>
      <c r="DF69" s="80"/>
      <c r="DG69" s="80"/>
      <c r="DH69" s="80"/>
      <c r="DI69" s="80"/>
      <c r="DJ69" s="80"/>
      <c r="DK69" s="80"/>
      <c r="DL69" s="80"/>
      <c r="DM69" s="80"/>
      <c r="DN69" s="80"/>
      <c r="DO69" s="80"/>
      <c r="DP69" s="80"/>
      <c r="DQ69" s="80"/>
      <c r="DR69" s="80"/>
      <c r="DS69" s="80"/>
      <c r="DT69" s="80"/>
      <c r="DU69" s="80"/>
      <c r="DV69" s="80"/>
      <c r="DW69" s="80"/>
      <c r="DX69" s="80"/>
      <c r="DY69" s="80"/>
      <c r="DZ69" s="80"/>
      <c r="EA69" s="80"/>
      <c r="EB69" s="80"/>
      <c r="EC69" s="80"/>
      <c r="ED69" s="80"/>
      <c r="EE69" s="80"/>
      <c r="EF69" s="80"/>
      <c r="EG69" s="80"/>
      <c r="EH69" s="80"/>
      <c r="EI69" s="80"/>
      <c r="EJ69" s="80"/>
      <c r="EK69" s="80"/>
      <c r="EL69" s="80"/>
      <c r="EM69" s="80"/>
      <c r="EN69" s="80"/>
      <c r="EO69" s="80"/>
      <c r="EP69" s="80"/>
      <c r="EQ69" s="80"/>
      <c r="ER69" s="80"/>
      <c r="ES69" s="80"/>
      <c r="ET69" s="80"/>
      <c r="EU69" s="80"/>
      <c r="EV69" s="80"/>
      <c r="EW69" s="80"/>
      <c r="EX69" s="80"/>
      <c r="EY69" s="80"/>
      <c r="EZ69" s="80"/>
      <c r="FA69" s="80"/>
      <c r="FB69" s="80"/>
      <c r="FC69" s="80"/>
      <c r="FD69" s="80"/>
      <c r="FE69" s="80"/>
      <c r="FF69" s="80"/>
      <c r="FG69" s="80"/>
      <c r="FH69" s="80"/>
      <c r="FI69" s="80"/>
      <c r="FJ69" s="80"/>
      <c r="FK69" s="80"/>
      <c r="FL69" s="80"/>
      <c r="FM69" s="80"/>
      <c r="FN69" s="80"/>
      <c r="FO69" s="80"/>
      <c r="FP69" s="80"/>
      <c r="FQ69" s="80"/>
      <c r="FR69" s="80"/>
      <c r="FS69" s="80"/>
      <c r="FT69" s="80"/>
      <c r="FU69" s="80"/>
      <c r="FV69" s="80"/>
      <c r="FW69" s="80"/>
      <c r="FX69" s="80"/>
      <c r="FY69" s="80"/>
      <c r="FZ69" s="80"/>
    </row>
    <row r="70" spans="8:182" ht="18" customHeight="1"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0"/>
      <c r="BD70" s="80"/>
      <c r="BE70" s="80"/>
      <c r="BF70" s="80"/>
      <c r="BG70" s="80"/>
      <c r="BH70" s="80"/>
      <c r="BI70" s="80"/>
      <c r="BJ70" s="80"/>
      <c r="BK70" s="80"/>
      <c r="BL70" s="80"/>
      <c r="BM70" s="80"/>
      <c r="BN70" s="80"/>
      <c r="BO70" s="80"/>
      <c r="BP70" s="80"/>
      <c r="BQ70" s="80"/>
      <c r="BR70" s="80"/>
      <c r="BS70" s="80"/>
      <c r="BT70" s="80"/>
      <c r="BU70" s="80"/>
      <c r="BV70" s="80"/>
      <c r="BW70" s="80"/>
      <c r="BX70" s="80"/>
      <c r="BY70" s="80"/>
      <c r="BZ70" s="80"/>
      <c r="CA70" s="80"/>
      <c r="CB70" s="80"/>
      <c r="CC70" s="80"/>
      <c r="CD70" s="80"/>
      <c r="CE70" s="80"/>
      <c r="CF70" s="80"/>
      <c r="CG70" s="80"/>
      <c r="CH70" s="80"/>
      <c r="CI70" s="80"/>
      <c r="CJ70" s="80"/>
      <c r="CK70" s="80"/>
      <c r="CL70" s="80"/>
      <c r="CM70" s="80"/>
      <c r="CN70" s="80"/>
      <c r="CO70" s="80"/>
      <c r="CP70" s="80"/>
      <c r="CQ70" s="80"/>
      <c r="CR70" s="80"/>
      <c r="CS70" s="80"/>
      <c r="CT70" s="80"/>
      <c r="CU70" s="80"/>
      <c r="CV70" s="80"/>
      <c r="CW70" s="80"/>
      <c r="CX70" s="80"/>
      <c r="CY70" s="80"/>
      <c r="CZ70" s="80"/>
      <c r="DA70" s="80"/>
      <c r="DB70" s="80"/>
      <c r="DC70" s="80"/>
      <c r="DD70" s="80"/>
      <c r="DE70" s="80"/>
      <c r="DF70" s="80"/>
      <c r="DG70" s="80"/>
      <c r="DH70" s="80"/>
      <c r="DI70" s="80"/>
      <c r="DJ70" s="80"/>
      <c r="DK70" s="80"/>
      <c r="DL70" s="80"/>
      <c r="DM70" s="80"/>
      <c r="DN70" s="80"/>
      <c r="DO70" s="80"/>
      <c r="DP70" s="80"/>
      <c r="DQ70" s="80"/>
      <c r="DR70" s="80"/>
      <c r="DS70" s="80"/>
      <c r="DT70" s="80"/>
      <c r="DU70" s="80"/>
      <c r="DV70" s="80"/>
      <c r="DW70" s="80"/>
      <c r="DX70" s="80"/>
      <c r="DY70" s="80"/>
      <c r="DZ70" s="80"/>
      <c r="EA70" s="80"/>
      <c r="EB70" s="80"/>
      <c r="EC70" s="80"/>
      <c r="ED70" s="80"/>
      <c r="EE70" s="80"/>
      <c r="EF70" s="80"/>
      <c r="EG70" s="80"/>
      <c r="EH70" s="80"/>
      <c r="EI70" s="80"/>
      <c r="EJ70" s="80"/>
      <c r="EK70" s="80"/>
      <c r="EL70" s="80"/>
      <c r="EM70" s="80"/>
      <c r="EN70" s="80"/>
      <c r="EO70" s="80"/>
      <c r="EP70" s="80"/>
      <c r="EQ70" s="80"/>
      <c r="ER70" s="80"/>
      <c r="ES70" s="80"/>
      <c r="ET70" s="80"/>
      <c r="EU70" s="80"/>
      <c r="EV70" s="80"/>
      <c r="EW70" s="80"/>
      <c r="EX70" s="80"/>
      <c r="EY70" s="80"/>
      <c r="EZ70" s="80"/>
      <c r="FA70" s="80"/>
      <c r="FB70" s="80"/>
      <c r="FC70" s="80"/>
      <c r="FD70" s="80"/>
      <c r="FE70" s="80"/>
      <c r="FF70" s="80"/>
      <c r="FG70" s="80"/>
      <c r="FH70" s="80"/>
      <c r="FI70" s="80"/>
      <c r="FJ70" s="80"/>
      <c r="FK70" s="80"/>
      <c r="FL70" s="80"/>
      <c r="FM70" s="80"/>
      <c r="FN70" s="80"/>
      <c r="FO70" s="80"/>
      <c r="FP70" s="80"/>
      <c r="FQ70" s="80"/>
      <c r="FR70" s="80"/>
      <c r="FS70" s="80"/>
      <c r="FT70" s="80"/>
      <c r="FU70" s="80"/>
      <c r="FV70" s="80"/>
      <c r="FW70" s="80"/>
      <c r="FX70" s="80"/>
      <c r="FY70" s="80"/>
      <c r="FZ70" s="80"/>
    </row>
    <row r="71" spans="8:182" ht="18" customHeight="1"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0"/>
      <c r="CA71" s="80"/>
      <c r="CB71" s="80"/>
      <c r="CC71" s="80"/>
      <c r="CD71" s="80"/>
      <c r="CE71" s="80"/>
      <c r="CF71" s="80"/>
      <c r="CG71" s="80"/>
      <c r="CH71" s="80"/>
      <c r="CI71" s="80"/>
      <c r="CJ71" s="80"/>
      <c r="CK71" s="80"/>
      <c r="CL71" s="80"/>
      <c r="CM71" s="80"/>
      <c r="CN71" s="80"/>
      <c r="CO71" s="80"/>
      <c r="CP71" s="80"/>
      <c r="CQ71" s="80"/>
      <c r="CR71" s="80"/>
      <c r="CS71" s="80"/>
      <c r="CT71" s="80"/>
      <c r="CU71" s="80"/>
      <c r="CV71" s="80"/>
      <c r="CW71" s="80"/>
      <c r="CX71" s="80"/>
      <c r="CY71" s="80"/>
      <c r="CZ71" s="80"/>
      <c r="DA71" s="80"/>
      <c r="DB71" s="80"/>
      <c r="DC71" s="80"/>
      <c r="DD71" s="80"/>
      <c r="DE71" s="80"/>
      <c r="DF71" s="80"/>
      <c r="DG71" s="80"/>
      <c r="DH71" s="80"/>
      <c r="DI71" s="80"/>
      <c r="DJ71" s="80"/>
      <c r="DK71" s="80"/>
      <c r="DL71" s="80"/>
      <c r="DM71" s="80"/>
      <c r="DN71" s="80"/>
      <c r="DO71" s="80"/>
      <c r="DP71" s="80"/>
      <c r="DQ71" s="80"/>
      <c r="DR71" s="80"/>
      <c r="DS71" s="80"/>
      <c r="DT71" s="80"/>
      <c r="DU71" s="80"/>
      <c r="DV71" s="80"/>
      <c r="DW71" s="80"/>
      <c r="DX71" s="80"/>
      <c r="DY71" s="80"/>
      <c r="DZ71" s="80"/>
      <c r="EA71" s="80"/>
      <c r="EB71" s="80"/>
      <c r="EC71" s="80"/>
      <c r="ED71" s="80"/>
      <c r="EE71" s="80"/>
      <c r="EF71" s="80"/>
      <c r="EG71" s="80"/>
      <c r="EH71" s="80"/>
      <c r="EI71" s="80"/>
      <c r="EJ71" s="80"/>
      <c r="EK71" s="80"/>
      <c r="EL71" s="80"/>
      <c r="EM71" s="80"/>
      <c r="EN71" s="80"/>
      <c r="EO71" s="80"/>
      <c r="EP71" s="80"/>
      <c r="EQ71" s="80"/>
      <c r="ER71" s="80"/>
      <c r="ES71" s="80"/>
      <c r="ET71" s="80"/>
      <c r="EU71" s="80"/>
      <c r="EV71" s="80"/>
      <c r="EW71" s="80"/>
      <c r="EX71" s="80"/>
      <c r="EY71" s="80"/>
      <c r="EZ71" s="80"/>
      <c r="FA71" s="80"/>
      <c r="FB71" s="80"/>
      <c r="FC71" s="80"/>
      <c r="FD71" s="80"/>
      <c r="FE71" s="80"/>
      <c r="FF71" s="80"/>
      <c r="FG71" s="80"/>
      <c r="FH71" s="80"/>
      <c r="FI71" s="80"/>
      <c r="FJ71" s="80"/>
      <c r="FK71" s="80"/>
      <c r="FL71" s="80"/>
      <c r="FM71" s="80"/>
      <c r="FN71" s="80"/>
      <c r="FO71" s="80"/>
      <c r="FP71" s="80"/>
      <c r="FQ71" s="80"/>
      <c r="FR71" s="80"/>
      <c r="FS71" s="80"/>
      <c r="FT71" s="80"/>
      <c r="FU71" s="80"/>
      <c r="FV71" s="80"/>
      <c r="FW71" s="80"/>
      <c r="FX71" s="80"/>
      <c r="FY71" s="80"/>
      <c r="FZ71" s="80"/>
    </row>
    <row r="72" spans="8:182" ht="18" customHeight="1"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0"/>
      <c r="BD72" s="80"/>
      <c r="BE72" s="80"/>
      <c r="BF72" s="80"/>
      <c r="BG72" s="80"/>
      <c r="BH72" s="80"/>
      <c r="BI72" s="80"/>
      <c r="BJ72" s="80"/>
      <c r="BK72" s="80"/>
      <c r="BL72" s="80"/>
      <c r="BM72" s="80"/>
      <c r="BN72" s="80"/>
      <c r="BO72" s="80"/>
      <c r="BP72" s="80"/>
      <c r="BQ72" s="80"/>
      <c r="BR72" s="80"/>
      <c r="BS72" s="80"/>
      <c r="BT72" s="80"/>
      <c r="BU72" s="80"/>
      <c r="BV72" s="80"/>
      <c r="BW72" s="80"/>
      <c r="BX72" s="80"/>
      <c r="BY72" s="80"/>
      <c r="BZ72" s="80"/>
      <c r="CA72" s="80"/>
      <c r="CB72" s="80"/>
      <c r="CC72" s="80"/>
      <c r="CD72" s="80"/>
      <c r="CE72" s="80"/>
      <c r="CF72" s="80"/>
      <c r="CG72" s="80"/>
      <c r="CH72" s="80"/>
      <c r="CI72" s="80"/>
      <c r="CJ72" s="80"/>
      <c r="CK72" s="80"/>
      <c r="CL72" s="80"/>
      <c r="CM72" s="80"/>
      <c r="CN72" s="80"/>
      <c r="CO72" s="80"/>
      <c r="CP72" s="80"/>
      <c r="CQ72" s="80"/>
      <c r="CR72" s="80"/>
      <c r="CS72" s="80"/>
      <c r="CT72" s="80"/>
      <c r="CU72" s="80"/>
      <c r="CV72" s="80"/>
      <c r="CW72" s="80"/>
      <c r="CX72" s="80"/>
      <c r="CY72" s="80"/>
      <c r="CZ72" s="80"/>
      <c r="DA72" s="80"/>
      <c r="DB72" s="80"/>
      <c r="DC72" s="80"/>
      <c r="DD72" s="80"/>
      <c r="DE72" s="80"/>
      <c r="DF72" s="80"/>
      <c r="DG72" s="80"/>
      <c r="DH72" s="80"/>
      <c r="DI72" s="80"/>
      <c r="DJ72" s="80"/>
      <c r="DK72" s="80"/>
      <c r="DL72" s="80"/>
      <c r="DM72" s="80"/>
      <c r="DN72" s="80"/>
      <c r="DO72" s="80"/>
      <c r="DP72" s="80"/>
      <c r="DQ72" s="80"/>
      <c r="DR72" s="80"/>
      <c r="DS72" s="80"/>
      <c r="DT72" s="80"/>
      <c r="DU72" s="80"/>
      <c r="DV72" s="80"/>
      <c r="DW72" s="80"/>
      <c r="DX72" s="80"/>
      <c r="DY72" s="80"/>
      <c r="DZ72" s="80"/>
      <c r="EA72" s="80"/>
      <c r="EB72" s="80"/>
      <c r="EC72" s="80"/>
      <c r="ED72" s="80"/>
      <c r="EE72" s="80"/>
      <c r="EF72" s="80"/>
      <c r="EG72" s="80"/>
      <c r="EH72" s="80"/>
      <c r="EI72" s="80"/>
      <c r="EJ72" s="80"/>
      <c r="EK72" s="80"/>
      <c r="EL72" s="80"/>
      <c r="EM72" s="80"/>
      <c r="EN72" s="80"/>
      <c r="EO72" s="80"/>
      <c r="EP72" s="80"/>
      <c r="EQ72" s="80"/>
      <c r="ER72" s="80"/>
      <c r="ES72" s="80"/>
      <c r="ET72" s="80"/>
      <c r="EU72" s="80"/>
      <c r="EV72" s="80"/>
      <c r="EW72" s="80"/>
      <c r="EX72" s="80"/>
      <c r="EY72" s="80"/>
      <c r="EZ72" s="80"/>
      <c r="FA72" s="80"/>
      <c r="FB72" s="80"/>
      <c r="FC72" s="80"/>
      <c r="FD72" s="80"/>
      <c r="FE72" s="80"/>
      <c r="FF72" s="80"/>
      <c r="FG72" s="80"/>
      <c r="FH72" s="80"/>
      <c r="FI72" s="80"/>
      <c r="FJ72" s="80"/>
      <c r="FK72" s="80"/>
      <c r="FL72" s="80"/>
      <c r="FM72" s="80"/>
      <c r="FN72" s="80"/>
      <c r="FO72" s="80"/>
      <c r="FP72" s="80"/>
      <c r="FQ72" s="80"/>
      <c r="FR72" s="80"/>
      <c r="FS72" s="80"/>
      <c r="FT72" s="80"/>
      <c r="FU72" s="80"/>
      <c r="FV72" s="80"/>
      <c r="FW72" s="80"/>
      <c r="FX72" s="80"/>
      <c r="FY72" s="80"/>
      <c r="FZ72" s="80"/>
    </row>
    <row r="73" spans="8:182" ht="18" customHeight="1"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0"/>
      <c r="BD73" s="80"/>
      <c r="BE73" s="80"/>
      <c r="BF73" s="80"/>
      <c r="BG73" s="80"/>
      <c r="BH73" s="80"/>
      <c r="BI73" s="80"/>
      <c r="BJ73" s="80"/>
      <c r="BK73" s="80"/>
      <c r="BL73" s="80"/>
      <c r="BM73" s="80"/>
      <c r="BN73" s="80"/>
      <c r="BO73" s="80"/>
      <c r="BP73" s="80"/>
      <c r="BQ73" s="80"/>
      <c r="BR73" s="80"/>
      <c r="BS73" s="80"/>
      <c r="BT73" s="80"/>
      <c r="BU73" s="80"/>
      <c r="BV73" s="80"/>
      <c r="BW73" s="80"/>
      <c r="BX73" s="80"/>
      <c r="BY73" s="80"/>
      <c r="BZ73" s="80"/>
      <c r="CA73" s="80"/>
      <c r="CB73" s="80"/>
      <c r="CC73" s="80"/>
      <c r="CD73" s="80"/>
      <c r="CE73" s="80"/>
      <c r="CF73" s="80"/>
      <c r="CG73" s="80"/>
      <c r="CH73" s="80"/>
      <c r="CI73" s="80"/>
      <c r="CJ73" s="80"/>
      <c r="CK73" s="80"/>
      <c r="CL73" s="80"/>
      <c r="CM73" s="80"/>
      <c r="CN73" s="80"/>
      <c r="CO73" s="80"/>
      <c r="CP73" s="80"/>
      <c r="CQ73" s="80"/>
      <c r="CR73" s="80"/>
      <c r="CS73" s="80"/>
      <c r="CT73" s="80"/>
      <c r="CU73" s="80"/>
      <c r="CV73" s="80"/>
      <c r="CW73" s="80"/>
      <c r="CX73" s="80"/>
      <c r="CY73" s="80"/>
      <c r="CZ73" s="80"/>
      <c r="DA73" s="80"/>
      <c r="DB73" s="80"/>
      <c r="DC73" s="80"/>
      <c r="DD73" s="80"/>
      <c r="DE73" s="80"/>
      <c r="DF73" s="80"/>
      <c r="DG73" s="80"/>
      <c r="DH73" s="80"/>
      <c r="DI73" s="80"/>
      <c r="DJ73" s="80"/>
      <c r="DK73" s="80"/>
      <c r="DL73" s="80"/>
      <c r="DM73" s="80"/>
      <c r="DN73" s="80"/>
      <c r="DO73" s="80"/>
      <c r="DP73" s="80"/>
      <c r="DQ73" s="80"/>
      <c r="DR73" s="80"/>
      <c r="DS73" s="80"/>
      <c r="DT73" s="80"/>
      <c r="DU73" s="80"/>
      <c r="DV73" s="80"/>
      <c r="DW73" s="80"/>
      <c r="DX73" s="80"/>
      <c r="DY73" s="80"/>
      <c r="DZ73" s="80"/>
      <c r="EA73" s="80"/>
      <c r="EB73" s="80"/>
      <c r="EC73" s="80"/>
      <c r="ED73" s="80"/>
      <c r="EE73" s="80"/>
      <c r="EF73" s="80"/>
      <c r="EG73" s="80"/>
      <c r="EH73" s="80"/>
      <c r="EI73" s="80"/>
      <c r="EJ73" s="80"/>
      <c r="EK73" s="80"/>
      <c r="EL73" s="80"/>
      <c r="EM73" s="80"/>
      <c r="EN73" s="80"/>
      <c r="EO73" s="80"/>
      <c r="EP73" s="80"/>
      <c r="EQ73" s="80"/>
      <c r="ER73" s="80"/>
      <c r="ES73" s="80"/>
      <c r="ET73" s="80"/>
      <c r="EU73" s="80"/>
      <c r="EV73" s="80"/>
      <c r="EW73" s="80"/>
      <c r="EX73" s="80"/>
      <c r="EY73" s="80"/>
      <c r="EZ73" s="80"/>
      <c r="FA73" s="80"/>
      <c r="FB73" s="80"/>
      <c r="FC73" s="80"/>
      <c r="FD73" s="80"/>
      <c r="FE73" s="80"/>
      <c r="FF73" s="80"/>
      <c r="FG73" s="80"/>
      <c r="FH73" s="80"/>
      <c r="FI73" s="80"/>
      <c r="FJ73" s="80"/>
      <c r="FK73" s="80"/>
      <c r="FL73" s="80"/>
      <c r="FM73" s="80"/>
      <c r="FN73" s="80"/>
      <c r="FO73" s="80"/>
      <c r="FP73" s="80"/>
      <c r="FQ73" s="80"/>
      <c r="FR73" s="80"/>
      <c r="FS73" s="80"/>
      <c r="FT73" s="80"/>
      <c r="FU73" s="80"/>
      <c r="FV73" s="80"/>
      <c r="FW73" s="80"/>
      <c r="FX73" s="80"/>
      <c r="FY73" s="80"/>
      <c r="FZ73" s="80"/>
    </row>
    <row r="74" spans="8:182" ht="18" customHeight="1"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  <c r="AV74" s="80"/>
      <c r="AW74" s="80"/>
      <c r="AX74" s="80"/>
      <c r="AY74" s="80"/>
      <c r="AZ74" s="80"/>
      <c r="BA74" s="80"/>
      <c r="BB74" s="80"/>
      <c r="BC74" s="80"/>
      <c r="BD74" s="80"/>
      <c r="BE74" s="80"/>
      <c r="BF74" s="80"/>
      <c r="BG74" s="80"/>
      <c r="BH74" s="80"/>
      <c r="BI74" s="80"/>
      <c r="BJ74" s="80"/>
      <c r="BK74" s="80"/>
      <c r="BL74" s="80"/>
      <c r="BM74" s="80"/>
      <c r="BN74" s="80"/>
      <c r="BO74" s="80"/>
      <c r="BP74" s="80"/>
      <c r="BQ74" s="80"/>
      <c r="BR74" s="80"/>
      <c r="BS74" s="80"/>
      <c r="BT74" s="80"/>
      <c r="BU74" s="80"/>
      <c r="BV74" s="80"/>
      <c r="BW74" s="80"/>
      <c r="BX74" s="80"/>
      <c r="BY74" s="80"/>
      <c r="BZ74" s="80"/>
      <c r="CA74" s="80"/>
      <c r="CB74" s="80"/>
      <c r="CC74" s="80"/>
      <c r="CD74" s="80"/>
      <c r="CE74" s="80"/>
      <c r="CF74" s="80"/>
      <c r="CG74" s="80"/>
      <c r="CH74" s="80"/>
      <c r="CI74" s="80"/>
      <c r="CJ74" s="80"/>
      <c r="CK74" s="80"/>
      <c r="CL74" s="80"/>
      <c r="CM74" s="80"/>
      <c r="CN74" s="80"/>
      <c r="CO74" s="80"/>
      <c r="CP74" s="80"/>
      <c r="CQ74" s="80"/>
      <c r="CR74" s="80"/>
      <c r="CS74" s="80"/>
      <c r="CT74" s="80"/>
      <c r="CU74" s="80"/>
      <c r="CV74" s="80"/>
      <c r="CW74" s="80"/>
      <c r="CX74" s="80"/>
      <c r="CY74" s="80"/>
      <c r="CZ74" s="80"/>
      <c r="DA74" s="80"/>
      <c r="DB74" s="80"/>
      <c r="DC74" s="80"/>
      <c r="DD74" s="80"/>
      <c r="DE74" s="80"/>
      <c r="DF74" s="80"/>
      <c r="DG74" s="80"/>
      <c r="DH74" s="80"/>
      <c r="DI74" s="80"/>
      <c r="DJ74" s="80"/>
      <c r="DK74" s="80"/>
      <c r="DL74" s="80"/>
      <c r="DM74" s="80"/>
      <c r="DN74" s="80"/>
      <c r="DO74" s="80"/>
      <c r="DP74" s="80"/>
      <c r="DQ74" s="80"/>
      <c r="DR74" s="80"/>
      <c r="DS74" s="80"/>
      <c r="DT74" s="80"/>
      <c r="DU74" s="80"/>
      <c r="DV74" s="80"/>
      <c r="DW74" s="80"/>
      <c r="DX74" s="80"/>
      <c r="DY74" s="80"/>
      <c r="DZ74" s="80"/>
      <c r="EA74" s="80"/>
      <c r="EB74" s="80"/>
      <c r="EC74" s="80"/>
      <c r="ED74" s="80"/>
      <c r="EE74" s="80"/>
      <c r="EF74" s="80"/>
      <c r="EG74" s="80"/>
      <c r="EH74" s="80"/>
      <c r="EI74" s="80"/>
      <c r="EJ74" s="80"/>
      <c r="EK74" s="80"/>
      <c r="EL74" s="80"/>
      <c r="EM74" s="80"/>
      <c r="EN74" s="80"/>
      <c r="EO74" s="80"/>
      <c r="EP74" s="80"/>
      <c r="EQ74" s="80"/>
      <c r="ER74" s="80"/>
      <c r="ES74" s="80"/>
      <c r="ET74" s="80"/>
      <c r="EU74" s="80"/>
      <c r="EV74" s="80"/>
      <c r="EW74" s="80"/>
      <c r="EX74" s="80"/>
      <c r="EY74" s="80"/>
      <c r="EZ74" s="80"/>
      <c r="FA74" s="80"/>
      <c r="FB74" s="80"/>
      <c r="FC74" s="80"/>
      <c r="FD74" s="80"/>
      <c r="FE74" s="80"/>
      <c r="FF74" s="80"/>
      <c r="FG74" s="80"/>
      <c r="FH74" s="80"/>
      <c r="FI74" s="80"/>
      <c r="FJ74" s="80"/>
      <c r="FK74" s="80"/>
      <c r="FL74" s="80"/>
      <c r="FM74" s="80"/>
      <c r="FN74" s="80"/>
      <c r="FO74" s="80"/>
      <c r="FP74" s="80"/>
      <c r="FQ74" s="80"/>
      <c r="FR74" s="80"/>
      <c r="FS74" s="80"/>
      <c r="FT74" s="80"/>
      <c r="FU74" s="80"/>
      <c r="FV74" s="80"/>
      <c r="FW74" s="80"/>
      <c r="FX74" s="80"/>
      <c r="FY74" s="80"/>
      <c r="FZ74" s="80"/>
    </row>
    <row r="75" spans="8:182" ht="18" customHeight="1"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/>
      <c r="AY75" s="80"/>
      <c r="AZ75" s="80"/>
      <c r="BA75" s="80"/>
      <c r="BB75" s="80"/>
      <c r="BC75" s="80"/>
      <c r="BD75" s="80"/>
      <c r="BE75" s="80"/>
      <c r="BF75" s="80"/>
      <c r="BG75" s="80"/>
      <c r="BH75" s="80"/>
      <c r="BI75" s="80"/>
      <c r="BJ75" s="80"/>
      <c r="BK75" s="80"/>
      <c r="BL75" s="80"/>
      <c r="BM75" s="80"/>
      <c r="BN75" s="80"/>
      <c r="BO75" s="80"/>
      <c r="BP75" s="80"/>
      <c r="BQ75" s="80"/>
      <c r="BR75" s="80"/>
      <c r="BS75" s="80"/>
      <c r="BT75" s="80"/>
      <c r="BU75" s="80"/>
      <c r="BV75" s="80"/>
      <c r="BW75" s="80"/>
      <c r="BX75" s="80"/>
      <c r="BY75" s="80"/>
      <c r="BZ75" s="80"/>
      <c r="CA75" s="80"/>
      <c r="CB75" s="80"/>
      <c r="CC75" s="80"/>
      <c r="CD75" s="80"/>
      <c r="CE75" s="80"/>
      <c r="CF75" s="80"/>
      <c r="CG75" s="80"/>
      <c r="CH75" s="80"/>
      <c r="CI75" s="80"/>
      <c r="CJ75" s="80"/>
      <c r="CK75" s="80"/>
      <c r="CL75" s="80"/>
      <c r="CM75" s="80"/>
      <c r="CN75" s="80"/>
      <c r="CO75" s="80"/>
      <c r="CP75" s="80"/>
      <c r="CQ75" s="80"/>
      <c r="CR75" s="80"/>
      <c r="CS75" s="80"/>
      <c r="CT75" s="80"/>
      <c r="CU75" s="80"/>
      <c r="CV75" s="80"/>
      <c r="CW75" s="80"/>
      <c r="CX75" s="80"/>
      <c r="CY75" s="80"/>
      <c r="CZ75" s="80"/>
      <c r="DA75" s="80"/>
      <c r="DB75" s="80"/>
      <c r="DC75" s="80"/>
      <c r="DD75" s="80"/>
      <c r="DE75" s="80"/>
      <c r="DF75" s="80"/>
      <c r="DG75" s="80"/>
      <c r="DH75" s="80"/>
      <c r="DI75" s="80"/>
      <c r="DJ75" s="80"/>
      <c r="DK75" s="80"/>
      <c r="DL75" s="80"/>
      <c r="DM75" s="80"/>
      <c r="DN75" s="80"/>
      <c r="DO75" s="80"/>
      <c r="DP75" s="80"/>
      <c r="DQ75" s="80"/>
      <c r="DR75" s="80"/>
      <c r="DS75" s="80"/>
      <c r="DT75" s="80"/>
      <c r="DU75" s="80"/>
      <c r="DV75" s="80"/>
      <c r="DW75" s="80"/>
      <c r="DX75" s="80"/>
      <c r="DY75" s="80"/>
      <c r="DZ75" s="80"/>
      <c r="EA75" s="80"/>
      <c r="EB75" s="80"/>
      <c r="EC75" s="80"/>
      <c r="ED75" s="80"/>
      <c r="EE75" s="80"/>
      <c r="EF75" s="80"/>
      <c r="EG75" s="80"/>
      <c r="EH75" s="80"/>
      <c r="EI75" s="80"/>
      <c r="EJ75" s="80"/>
      <c r="EK75" s="80"/>
      <c r="EL75" s="80"/>
      <c r="EM75" s="80"/>
      <c r="EN75" s="80"/>
      <c r="EO75" s="80"/>
      <c r="EP75" s="80"/>
      <c r="EQ75" s="80"/>
      <c r="ER75" s="80"/>
      <c r="ES75" s="80"/>
      <c r="ET75" s="80"/>
      <c r="EU75" s="80"/>
      <c r="EV75" s="80"/>
      <c r="EW75" s="80"/>
      <c r="EX75" s="80"/>
      <c r="EY75" s="80"/>
      <c r="EZ75" s="80"/>
      <c r="FA75" s="80"/>
      <c r="FB75" s="80"/>
      <c r="FC75" s="80"/>
      <c r="FD75" s="80"/>
      <c r="FE75" s="80"/>
      <c r="FF75" s="80"/>
      <c r="FG75" s="80"/>
      <c r="FH75" s="80"/>
      <c r="FI75" s="80"/>
      <c r="FJ75" s="80"/>
      <c r="FK75" s="80"/>
      <c r="FL75" s="80"/>
      <c r="FM75" s="80"/>
      <c r="FN75" s="80"/>
      <c r="FO75" s="80"/>
      <c r="FP75" s="80"/>
      <c r="FQ75" s="80"/>
      <c r="FR75" s="80"/>
      <c r="FS75" s="80"/>
      <c r="FT75" s="80"/>
      <c r="FU75" s="80"/>
      <c r="FV75" s="80"/>
      <c r="FW75" s="80"/>
      <c r="FX75" s="80"/>
      <c r="FY75" s="80"/>
      <c r="FZ75" s="80"/>
    </row>
    <row r="76" spans="8:182" ht="18" customHeight="1"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0"/>
      <c r="AO76" s="80"/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0"/>
      <c r="BD76" s="80"/>
      <c r="BE76" s="80"/>
      <c r="BF76" s="80"/>
      <c r="BG76" s="80"/>
      <c r="BH76" s="80"/>
      <c r="BI76" s="80"/>
      <c r="BJ76" s="80"/>
      <c r="BK76" s="80"/>
      <c r="BL76" s="80"/>
      <c r="BM76" s="80"/>
      <c r="BN76" s="80"/>
      <c r="BO76" s="80"/>
      <c r="BP76" s="80"/>
      <c r="BQ76" s="80"/>
      <c r="BR76" s="80"/>
      <c r="BS76" s="80"/>
      <c r="BT76" s="80"/>
      <c r="BU76" s="80"/>
      <c r="BV76" s="80"/>
      <c r="BW76" s="80"/>
      <c r="BX76" s="80"/>
      <c r="BY76" s="80"/>
      <c r="BZ76" s="80"/>
      <c r="CA76" s="80"/>
      <c r="CB76" s="80"/>
      <c r="CC76" s="80"/>
      <c r="CD76" s="80"/>
      <c r="CE76" s="80"/>
      <c r="CF76" s="80"/>
      <c r="CG76" s="80"/>
      <c r="CH76" s="80"/>
      <c r="CI76" s="80"/>
      <c r="CJ76" s="80"/>
      <c r="CK76" s="80"/>
      <c r="CL76" s="80"/>
      <c r="CM76" s="80"/>
      <c r="CN76" s="80"/>
      <c r="CO76" s="80"/>
      <c r="CP76" s="80"/>
      <c r="CQ76" s="80"/>
      <c r="CR76" s="80"/>
      <c r="CS76" s="80"/>
      <c r="CT76" s="80"/>
      <c r="CU76" s="80"/>
      <c r="CV76" s="80"/>
      <c r="CW76" s="80"/>
      <c r="CX76" s="80"/>
      <c r="CY76" s="80"/>
      <c r="CZ76" s="80"/>
      <c r="DA76" s="80"/>
      <c r="DB76" s="80"/>
      <c r="DC76" s="80"/>
      <c r="DD76" s="80"/>
      <c r="DE76" s="80"/>
      <c r="DF76" s="80"/>
      <c r="DG76" s="80"/>
      <c r="DH76" s="80"/>
      <c r="DI76" s="80"/>
      <c r="DJ76" s="80"/>
      <c r="DK76" s="80"/>
      <c r="DL76" s="80"/>
      <c r="DM76" s="80"/>
      <c r="DN76" s="80"/>
      <c r="DO76" s="80"/>
      <c r="DP76" s="80"/>
      <c r="DQ76" s="80"/>
      <c r="DR76" s="80"/>
      <c r="DS76" s="80"/>
      <c r="DT76" s="80"/>
      <c r="DU76" s="80"/>
      <c r="DV76" s="80"/>
      <c r="DW76" s="80"/>
      <c r="DX76" s="80"/>
      <c r="DY76" s="80"/>
      <c r="DZ76" s="80"/>
      <c r="EA76" s="80"/>
      <c r="EB76" s="80"/>
      <c r="EC76" s="80"/>
      <c r="ED76" s="80"/>
      <c r="EE76" s="80"/>
      <c r="EF76" s="80"/>
      <c r="EG76" s="80"/>
      <c r="EH76" s="80"/>
      <c r="EI76" s="80"/>
      <c r="EJ76" s="80"/>
      <c r="EK76" s="80"/>
      <c r="EL76" s="80"/>
      <c r="EM76" s="80"/>
      <c r="EN76" s="80"/>
      <c r="EO76" s="80"/>
      <c r="EP76" s="80"/>
      <c r="EQ76" s="80"/>
      <c r="ER76" s="80"/>
      <c r="ES76" s="80"/>
      <c r="ET76" s="80"/>
      <c r="EU76" s="80"/>
      <c r="EV76" s="80"/>
      <c r="EW76" s="80"/>
      <c r="EX76" s="80"/>
      <c r="EY76" s="80"/>
      <c r="EZ76" s="80"/>
      <c r="FA76" s="80"/>
      <c r="FB76" s="80"/>
      <c r="FC76" s="80"/>
      <c r="FD76" s="80"/>
      <c r="FE76" s="80"/>
      <c r="FF76" s="80"/>
      <c r="FG76" s="80"/>
      <c r="FH76" s="80"/>
      <c r="FI76" s="80"/>
      <c r="FJ76" s="80"/>
      <c r="FK76" s="80"/>
      <c r="FL76" s="80"/>
      <c r="FM76" s="80"/>
      <c r="FN76" s="80"/>
      <c r="FO76" s="80"/>
      <c r="FP76" s="80"/>
      <c r="FQ76" s="80"/>
      <c r="FR76" s="80"/>
      <c r="FS76" s="80"/>
      <c r="FT76" s="80"/>
      <c r="FU76" s="80"/>
      <c r="FV76" s="80"/>
      <c r="FW76" s="80"/>
      <c r="FX76" s="80"/>
      <c r="FY76" s="80"/>
      <c r="FZ76" s="80"/>
    </row>
    <row r="77" spans="8:182" ht="18" customHeight="1"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0"/>
      <c r="AR77" s="80"/>
      <c r="AS77" s="80"/>
      <c r="AT77" s="80"/>
      <c r="AU77" s="80"/>
      <c r="AV77" s="80"/>
      <c r="AW77" s="80"/>
      <c r="AX77" s="80"/>
      <c r="AY77" s="80"/>
      <c r="AZ77" s="80"/>
      <c r="BA77" s="80"/>
      <c r="BB77" s="80"/>
      <c r="BC77" s="80"/>
      <c r="BD77" s="80"/>
      <c r="BE77" s="80"/>
      <c r="BF77" s="80"/>
      <c r="BG77" s="80"/>
      <c r="BH77" s="80"/>
      <c r="BI77" s="80"/>
      <c r="BJ77" s="80"/>
      <c r="BK77" s="80"/>
      <c r="BL77" s="80"/>
      <c r="BM77" s="80"/>
      <c r="BN77" s="80"/>
      <c r="BO77" s="80"/>
      <c r="BP77" s="80"/>
      <c r="BQ77" s="80"/>
      <c r="BR77" s="80"/>
      <c r="BS77" s="80"/>
      <c r="BT77" s="80"/>
      <c r="BU77" s="80"/>
      <c r="BV77" s="80"/>
      <c r="BW77" s="80"/>
      <c r="BX77" s="80"/>
      <c r="BY77" s="80"/>
      <c r="BZ77" s="80"/>
      <c r="CA77" s="80"/>
      <c r="CB77" s="80"/>
      <c r="CC77" s="80"/>
      <c r="CD77" s="80"/>
      <c r="CE77" s="80"/>
      <c r="CF77" s="80"/>
      <c r="CG77" s="80"/>
      <c r="CH77" s="80"/>
      <c r="CI77" s="80"/>
      <c r="CJ77" s="80"/>
      <c r="CK77" s="80"/>
      <c r="CL77" s="80"/>
      <c r="CM77" s="80"/>
      <c r="CN77" s="80"/>
      <c r="CO77" s="80"/>
      <c r="CP77" s="80"/>
      <c r="CQ77" s="80"/>
      <c r="CR77" s="80"/>
      <c r="CS77" s="80"/>
      <c r="CT77" s="80"/>
      <c r="CU77" s="80"/>
      <c r="CV77" s="80"/>
      <c r="CW77" s="80"/>
      <c r="CX77" s="80"/>
      <c r="CY77" s="80"/>
      <c r="CZ77" s="80"/>
      <c r="DA77" s="80"/>
      <c r="DB77" s="80"/>
      <c r="DC77" s="80"/>
      <c r="DD77" s="80"/>
      <c r="DE77" s="80"/>
      <c r="DF77" s="80"/>
      <c r="DG77" s="80"/>
      <c r="DH77" s="80"/>
      <c r="DI77" s="80"/>
      <c r="DJ77" s="80"/>
      <c r="DK77" s="80"/>
      <c r="DL77" s="80"/>
      <c r="DM77" s="80"/>
      <c r="DN77" s="80"/>
      <c r="DO77" s="80"/>
      <c r="DP77" s="80"/>
      <c r="DQ77" s="80"/>
      <c r="DR77" s="80"/>
      <c r="DS77" s="80"/>
      <c r="DT77" s="80"/>
      <c r="DU77" s="80"/>
      <c r="DV77" s="80"/>
      <c r="DW77" s="80"/>
      <c r="DX77" s="80"/>
      <c r="DY77" s="80"/>
      <c r="DZ77" s="80"/>
      <c r="EA77" s="80"/>
      <c r="EB77" s="80"/>
      <c r="EC77" s="80"/>
      <c r="ED77" s="80"/>
      <c r="EE77" s="80"/>
      <c r="EF77" s="80"/>
      <c r="EG77" s="80"/>
      <c r="EH77" s="80"/>
      <c r="EI77" s="80"/>
      <c r="EJ77" s="80"/>
      <c r="EK77" s="80"/>
      <c r="EL77" s="80"/>
      <c r="EM77" s="80"/>
      <c r="EN77" s="80"/>
      <c r="EO77" s="80"/>
      <c r="EP77" s="80"/>
      <c r="EQ77" s="80"/>
      <c r="ER77" s="80"/>
      <c r="ES77" s="80"/>
      <c r="ET77" s="80"/>
      <c r="EU77" s="80"/>
      <c r="EV77" s="80"/>
      <c r="EW77" s="80"/>
      <c r="EX77" s="80"/>
      <c r="EY77" s="80"/>
      <c r="EZ77" s="80"/>
      <c r="FA77" s="80"/>
      <c r="FB77" s="80"/>
      <c r="FC77" s="80"/>
      <c r="FD77" s="80"/>
      <c r="FE77" s="80"/>
      <c r="FF77" s="80"/>
      <c r="FG77" s="80"/>
      <c r="FH77" s="80"/>
      <c r="FI77" s="80"/>
      <c r="FJ77" s="80"/>
      <c r="FK77" s="80"/>
      <c r="FL77" s="80"/>
      <c r="FM77" s="80"/>
      <c r="FN77" s="80"/>
      <c r="FO77" s="80"/>
      <c r="FP77" s="80"/>
      <c r="FQ77" s="80"/>
      <c r="FR77" s="80"/>
      <c r="FS77" s="80"/>
      <c r="FT77" s="80"/>
      <c r="FU77" s="80"/>
      <c r="FV77" s="80"/>
      <c r="FW77" s="80"/>
      <c r="FX77" s="80"/>
      <c r="FY77" s="80"/>
      <c r="FZ77" s="80"/>
    </row>
    <row r="78" spans="8:182" ht="18" customHeight="1"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80"/>
      <c r="BD78" s="80"/>
      <c r="BE78" s="80"/>
      <c r="BF78" s="80"/>
      <c r="BG78" s="80"/>
      <c r="BH78" s="80"/>
      <c r="BI78" s="80"/>
      <c r="BJ78" s="80"/>
      <c r="BK78" s="80"/>
      <c r="BL78" s="80"/>
      <c r="BM78" s="80"/>
      <c r="BN78" s="80"/>
      <c r="BO78" s="80"/>
      <c r="BP78" s="80"/>
      <c r="BQ78" s="80"/>
      <c r="BR78" s="80"/>
      <c r="BS78" s="80"/>
      <c r="BT78" s="80"/>
      <c r="BU78" s="80"/>
      <c r="BV78" s="80"/>
      <c r="BW78" s="80"/>
      <c r="BX78" s="80"/>
      <c r="BY78" s="80"/>
      <c r="BZ78" s="80"/>
      <c r="CA78" s="80"/>
      <c r="CB78" s="80"/>
      <c r="CC78" s="80"/>
      <c r="CD78" s="80"/>
      <c r="CE78" s="80"/>
      <c r="CF78" s="80"/>
      <c r="CG78" s="80"/>
      <c r="CH78" s="80"/>
      <c r="CI78" s="80"/>
      <c r="CJ78" s="80"/>
      <c r="CK78" s="80"/>
      <c r="CL78" s="80"/>
      <c r="CM78" s="80"/>
      <c r="CN78" s="80"/>
      <c r="CO78" s="80"/>
      <c r="CP78" s="80"/>
      <c r="CQ78" s="80"/>
      <c r="CR78" s="80"/>
      <c r="CS78" s="80"/>
      <c r="CT78" s="80"/>
      <c r="CU78" s="80"/>
      <c r="CV78" s="80"/>
      <c r="CW78" s="80"/>
      <c r="CX78" s="80"/>
      <c r="CY78" s="80"/>
      <c r="CZ78" s="80"/>
      <c r="DA78" s="80"/>
      <c r="DB78" s="80"/>
      <c r="DC78" s="80"/>
      <c r="DD78" s="80"/>
      <c r="DE78" s="80"/>
      <c r="DF78" s="80"/>
      <c r="DG78" s="80"/>
      <c r="DH78" s="80"/>
      <c r="DI78" s="80"/>
      <c r="DJ78" s="80"/>
      <c r="DK78" s="80"/>
      <c r="DL78" s="80"/>
      <c r="DM78" s="80"/>
      <c r="DN78" s="80"/>
      <c r="DO78" s="80"/>
      <c r="DP78" s="80"/>
      <c r="DQ78" s="80"/>
      <c r="DR78" s="80"/>
      <c r="DS78" s="80"/>
      <c r="DT78" s="80"/>
      <c r="DU78" s="80"/>
      <c r="DV78" s="80"/>
      <c r="DW78" s="80"/>
      <c r="DX78" s="80"/>
      <c r="DY78" s="80"/>
      <c r="DZ78" s="80"/>
      <c r="EA78" s="80"/>
      <c r="EB78" s="80"/>
      <c r="EC78" s="80"/>
      <c r="ED78" s="80"/>
      <c r="EE78" s="80"/>
      <c r="EF78" s="80"/>
      <c r="EG78" s="80"/>
      <c r="EH78" s="80"/>
      <c r="EI78" s="80"/>
      <c r="EJ78" s="80"/>
      <c r="EK78" s="80"/>
      <c r="EL78" s="80"/>
      <c r="EM78" s="80"/>
      <c r="EN78" s="80"/>
      <c r="EO78" s="80"/>
      <c r="EP78" s="80"/>
      <c r="EQ78" s="80"/>
      <c r="ER78" s="80"/>
      <c r="ES78" s="80"/>
      <c r="ET78" s="80"/>
      <c r="EU78" s="80"/>
      <c r="EV78" s="80"/>
      <c r="EW78" s="80"/>
      <c r="EX78" s="80"/>
      <c r="EY78" s="80"/>
      <c r="EZ78" s="80"/>
      <c r="FA78" s="80"/>
      <c r="FB78" s="80"/>
      <c r="FC78" s="80"/>
      <c r="FD78" s="80"/>
      <c r="FE78" s="80"/>
      <c r="FF78" s="80"/>
      <c r="FG78" s="80"/>
      <c r="FH78" s="80"/>
      <c r="FI78" s="80"/>
      <c r="FJ78" s="80"/>
      <c r="FK78" s="80"/>
      <c r="FL78" s="80"/>
      <c r="FM78" s="80"/>
      <c r="FN78" s="80"/>
      <c r="FO78" s="80"/>
      <c r="FP78" s="80"/>
      <c r="FQ78" s="80"/>
      <c r="FR78" s="80"/>
      <c r="FS78" s="80"/>
      <c r="FT78" s="80"/>
      <c r="FU78" s="80"/>
      <c r="FV78" s="80"/>
      <c r="FW78" s="80"/>
      <c r="FX78" s="80"/>
      <c r="FY78" s="80"/>
      <c r="FZ78" s="80"/>
    </row>
    <row r="79" spans="8:182" ht="18" customHeight="1"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0"/>
      <c r="BH79" s="80"/>
      <c r="BI79" s="80"/>
      <c r="BJ79" s="80"/>
      <c r="BK79" s="80"/>
      <c r="BL79" s="80"/>
      <c r="BM79" s="80"/>
      <c r="BN79" s="80"/>
      <c r="BO79" s="80"/>
      <c r="BP79" s="80"/>
      <c r="BQ79" s="80"/>
      <c r="BR79" s="80"/>
      <c r="BS79" s="80"/>
      <c r="BT79" s="80"/>
      <c r="BU79" s="80"/>
      <c r="BV79" s="80"/>
      <c r="BW79" s="80"/>
      <c r="BX79" s="80"/>
      <c r="BY79" s="80"/>
      <c r="BZ79" s="80"/>
      <c r="CA79" s="80"/>
      <c r="CB79" s="80"/>
      <c r="CC79" s="80"/>
      <c r="CD79" s="80"/>
      <c r="CE79" s="80"/>
      <c r="CF79" s="80"/>
      <c r="CG79" s="80"/>
      <c r="CH79" s="80"/>
      <c r="CI79" s="80"/>
      <c r="CJ79" s="80"/>
      <c r="CK79" s="80"/>
      <c r="CL79" s="80"/>
      <c r="CM79" s="80"/>
      <c r="CN79" s="80"/>
      <c r="CO79" s="80"/>
      <c r="CP79" s="80"/>
      <c r="CQ79" s="80"/>
      <c r="CR79" s="80"/>
      <c r="CS79" s="80"/>
      <c r="CT79" s="80"/>
      <c r="CU79" s="80"/>
      <c r="CV79" s="80"/>
      <c r="CW79" s="80"/>
      <c r="CX79" s="80"/>
      <c r="CY79" s="80"/>
      <c r="CZ79" s="80"/>
      <c r="DA79" s="80"/>
      <c r="DB79" s="80"/>
      <c r="DC79" s="80"/>
      <c r="DD79" s="80"/>
      <c r="DE79" s="80"/>
      <c r="DF79" s="80"/>
      <c r="DG79" s="80"/>
      <c r="DH79" s="80"/>
      <c r="DI79" s="80"/>
      <c r="DJ79" s="80"/>
      <c r="DK79" s="80"/>
      <c r="DL79" s="80"/>
      <c r="DM79" s="80"/>
      <c r="DN79" s="80"/>
      <c r="DO79" s="80"/>
      <c r="DP79" s="80"/>
      <c r="DQ79" s="80"/>
      <c r="DR79" s="80"/>
      <c r="DS79" s="80"/>
      <c r="DT79" s="80"/>
      <c r="DU79" s="80"/>
      <c r="DV79" s="80"/>
      <c r="DW79" s="80"/>
      <c r="DX79" s="80"/>
      <c r="DY79" s="80"/>
      <c r="DZ79" s="80"/>
      <c r="EA79" s="80"/>
      <c r="EB79" s="80"/>
      <c r="EC79" s="80"/>
      <c r="ED79" s="80"/>
      <c r="EE79" s="80"/>
      <c r="EF79" s="80"/>
      <c r="EG79" s="80"/>
      <c r="EH79" s="80"/>
      <c r="EI79" s="80"/>
      <c r="EJ79" s="80"/>
      <c r="EK79" s="80"/>
      <c r="EL79" s="80"/>
      <c r="EM79" s="80"/>
      <c r="EN79" s="80"/>
      <c r="EO79" s="80"/>
      <c r="EP79" s="80"/>
      <c r="EQ79" s="80"/>
      <c r="ER79" s="80"/>
      <c r="ES79" s="80"/>
      <c r="ET79" s="80"/>
      <c r="EU79" s="80"/>
      <c r="EV79" s="80"/>
      <c r="EW79" s="80"/>
      <c r="EX79" s="80"/>
      <c r="EY79" s="80"/>
      <c r="EZ79" s="80"/>
      <c r="FA79" s="80"/>
      <c r="FB79" s="80"/>
      <c r="FC79" s="80"/>
      <c r="FD79" s="80"/>
      <c r="FE79" s="80"/>
      <c r="FF79" s="80"/>
      <c r="FG79" s="80"/>
      <c r="FH79" s="80"/>
      <c r="FI79" s="80"/>
      <c r="FJ79" s="80"/>
      <c r="FK79" s="80"/>
      <c r="FL79" s="80"/>
      <c r="FM79" s="80"/>
      <c r="FN79" s="80"/>
      <c r="FO79" s="80"/>
      <c r="FP79" s="80"/>
      <c r="FQ79" s="80"/>
      <c r="FR79" s="80"/>
      <c r="FS79" s="80"/>
      <c r="FT79" s="80"/>
      <c r="FU79" s="80"/>
      <c r="FV79" s="80"/>
      <c r="FW79" s="80"/>
      <c r="FX79" s="80"/>
      <c r="FY79" s="80"/>
      <c r="FZ79" s="80"/>
    </row>
    <row r="80" spans="8:182" ht="18" customHeight="1"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/>
      <c r="BF80" s="80"/>
      <c r="BG80" s="80"/>
      <c r="BH80" s="80"/>
      <c r="BI80" s="80"/>
      <c r="BJ80" s="80"/>
      <c r="BK80" s="80"/>
      <c r="BL80" s="80"/>
      <c r="BM80" s="80"/>
      <c r="BN80" s="80"/>
      <c r="BO80" s="80"/>
      <c r="BP80" s="80"/>
      <c r="BQ80" s="80"/>
      <c r="BR80" s="80"/>
      <c r="BS80" s="80"/>
      <c r="BT80" s="80"/>
      <c r="BU80" s="80"/>
      <c r="BV80" s="80"/>
      <c r="BW80" s="80"/>
      <c r="BX80" s="80"/>
      <c r="BY80" s="80"/>
      <c r="BZ80" s="80"/>
      <c r="CA80" s="80"/>
      <c r="CB80" s="80"/>
      <c r="CC80" s="80"/>
      <c r="CD80" s="80"/>
      <c r="CE80" s="80"/>
      <c r="CF80" s="80"/>
      <c r="CG80" s="80"/>
      <c r="CH80" s="80"/>
      <c r="CI80" s="80"/>
      <c r="CJ80" s="80"/>
      <c r="CK80" s="80"/>
      <c r="CL80" s="80"/>
      <c r="CM80" s="80"/>
      <c r="CN80" s="80"/>
      <c r="CO80" s="80"/>
      <c r="CP80" s="80"/>
      <c r="CQ80" s="80"/>
      <c r="CR80" s="80"/>
      <c r="CS80" s="80"/>
      <c r="CT80" s="80"/>
      <c r="CU80" s="80"/>
      <c r="CV80" s="80"/>
      <c r="CW80" s="80"/>
      <c r="CX80" s="80"/>
      <c r="CY80" s="80"/>
      <c r="CZ80" s="80"/>
      <c r="DA80" s="80"/>
      <c r="DB80" s="80"/>
      <c r="DC80" s="80"/>
      <c r="DD80" s="80"/>
      <c r="DE80" s="80"/>
      <c r="DF80" s="80"/>
      <c r="DG80" s="80"/>
      <c r="DH80" s="80"/>
      <c r="DI80" s="80"/>
      <c r="DJ80" s="80"/>
      <c r="DK80" s="80"/>
      <c r="DL80" s="80"/>
      <c r="DM80" s="80"/>
      <c r="DN80" s="80"/>
      <c r="DO80" s="80"/>
      <c r="DP80" s="80"/>
      <c r="DQ80" s="80"/>
      <c r="DR80" s="80"/>
      <c r="DS80" s="80"/>
      <c r="DT80" s="80"/>
      <c r="DU80" s="80"/>
      <c r="DV80" s="80"/>
      <c r="DW80" s="80"/>
      <c r="DX80" s="80"/>
      <c r="DY80" s="80"/>
      <c r="DZ80" s="80"/>
      <c r="EA80" s="80"/>
      <c r="EB80" s="80"/>
      <c r="EC80" s="80"/>
      <c r="ED80" s="80"/>
      <c r="EE80" s="80"/>
      <c r="EF80" s="80"/>
      <c r="EG80" s="80"/>
      <c r="EH80" s="80"/>
      <c r="EI80" s="80"/>
      <c r="EJ80" s="80"/>
      <c r="EK80" s="80"/>
      <c r="EL80" s="80"/>
      <c r="EM80" s="80"/>
      <c r="EN80" s="80"/>
      <c r="EO80" s="80"/>
      <c r="EP80" s="80"/>
      <c r="EQ80" s="80"/>
      <c r="ER80" s="80"/>
      <c r="ES80" s="80"/>
      <c r="ET80" s="80"/>
      <c r="EU80" s="80"/>
      <c r="EV80" s="80"/>
      <c r="EW80" s="80"/>
      <c r="EX80" s="80"/>
      <c r="EY80" s="80"/>
      <c r="EZ80" s="80"/>
      <c r="FA80" s="80"/>
      <c r="FB80" s="80"/>
      <c r="FC80" s="80"/>
      <c r="FD80" s="80"/>
      <c r="FE80" s="80"/>
      <c r="FF80" s="80"/>
      <c r="FG80" s="80"/>
      <c r="FH80" s="80"/>
      <c r="FI80" s="80"/>
      <c r="FJ80" s="80"/>
      <c r="FK80" s="80"/>
      <c r="FL80" s="80"/>
      <c r="FM80" s="80"/>
      <c r="FN80" s="80"/>
      <c r="FO80" s="80"/>
      <c r="FP80" s="80"/>
      <c r="FQ80" s="80"/>
      <c r="FR80" s="80"/>
      <c r="FS80" s="80"/>
      <c r="FT80" s="80"/>
      <c r="FU80" s="80"/>
      <c r="FV80" s="80"/>
      <c r="FW80" s="80"/>
      <c r="FX80" s="80"/>
      <c r="FY80" s="80"/>
      <c r="FZ80" s="80"/>
    </row>
    <row r="81" spans="8:182" ht="18" customHeight="1"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0"/>
      <c r="BJ81" s="80"/>
      <c r="BK81" s="80"/>
      <c r="BL81" s="80"/>
      <c r="BM81" s="80"/>
      <c r="BN81" s="80"/>
      <c r="BO81" s="80"/>
      <c r="BP81" s="80"/>
      <c r="BQ81" s="80"/>
      <c r="BR81" s="80"/>
      <c r="BS81" s="80"/>
      <c r="BT81" s="80"/>
      <c r="BU81" s="80"/>
      <c r="BV81" s="80"/>
      <c r="BW81" s="80"/>
      <c r="BX81" s="80"/>
      <c r="BY81" s="80"/>
      <c r="BZ81" s="80"/>
      <c r="CA81" s="80"/>
      <c r="CB81" s="80"/>
      <c r="CC81" s="80"/>
      <c r="CD81" s="80"/>
      <c r="CE81" s="80"/>
      <c r="CF81" s="80"/>
      <c r="CG81" s="80"/>
      <c r="CH81" s="80"/>
      <c r="CI81" s="80"/>
      <c r="CJ81" s="80"/>
      <c r="CK81" s="80"/>
      <c r="CL81" s="80"/>
      <c r="CM81" s="80"/>
      <c r="CN81" s="80"/>
      <c r="CO81" s="80"/>
      <c r="CP81" s="80"/>
      <c r="CQ81" s="80"/>
      <c r="CR81" s="80"/>
      <c r="CS81" s="80"/>
      <c r="CT81" s="80"/>
      <c r="CU81" s="80"/>
      <c r="CV81" s="80"/>
      <c r="CW81" s="80"/>
      <c r="CX81" s="80"/>
      <c r="CY81" s="80"/>
      <c r="CZ81" s="80"/>
      <c r="DA81" s="80"/>
      <c r="DB81" s="80"/>
      <c r="DC81" s="80"/>
      <c r="DD81" s="80"/>
      <c r="DE81" s="80"/>
      <c r="DF81" s="80"/>
      <c r="DG81" s="80"/>
      <c r="DH81" s="80"/>
      <c r="DI81" s="80"/>
      <c r="DJ81" s="80"/>
      <c r="DK81" s="80"/>
      <c r="DL81" s="80"/>
      <c r="DM81" s="80"/>
      <c r="DN81" s="80"/>
      <c r="DO81" s="80"/>
      <c r="DP81" s="80"/>
      <c r="DQ81" s="80"/>
      <c r="DR81" s="80"/>
      <c r="DS81" s="80"/>
      <c r="DT81" s="80"/>
      <c r="DU81" s="80"/>
      <c r="DV81" s="80"/>
      <c r="DW81" s="80"/>
      <c r="DX81" s="80"/>
      <c r="DY81" s="80"/>
      <c r="DZ81" s="80"/>
      <c r="EA81" s="80"/>
      <c r="EB81" s="80"/>
      <c r="EC81" s="80"/>
      <c r="ED81" s="80"/>
      <c r="EE81" s="80"/>
      <c r="EF81" s="80"/>
      <c r="EG81" s="80"/>
      <c r="EH81" s="80"/>
      <c r="EI81" s="80"/>
      <c r="EJ81" s="80"/>
      <c r="EK81" s="80"/>
      <c r="EL81" s="80"/>
      <c r="EM81" s="80"/>
      <c r="EN81" s="80"/>
      <c r="EO81" s="80"/>
      <c r="EP81" s="80"/>
      <c r="EQ81" s="80"/>
      <c r="ER81" s="80"/>
      <c r="ES81" s="80"/>
      <c r="ET81" s="80"/>
      <c r="EU81" s="80"/>
      <c r="EV81" s="80"/>
      <c r="EW81" s="80"/>
      <c r="EX81" s="80"/>
      <c r="EY81" s="80"/>
      <c r="EZ81" s="80"/>
      <c r="FA81" s="80"/>
      <c r="FB81" s="80"/>
      <c r="FC81" s="80"/>
      <c r="FD81" s="80"/>
      <c r="FE81" s="80"/>
      <c r="FF81" s="80"/>
      <c r="FG81" s="80"/>
      <c r="FH81" s="80"/>
      <c r="FI81" s="80"/>
      <c r="FJ81" s="80"/>
      <c r="FK81" s="80"/>
      <c r="FL81" s="80"/>
      <c r="FM81" s="80"/>
      <c r="FN81" s="80"/>
      <c r="FO81" s="80"/>
      <c r="FP81" s="80"/>
      <c r="FQ81" s="80"/>
      <c r="FR81" s="80"/>
      <c r="FS81" s="80"/>
      <c r="FT81" s="80"/>
      <c r="FU81" s="80"/>
      <c r="FV81" s="80"/>
      <c r="FW81" s="80"/>
      <c r="FX81" s="80"/>
      <c r="FY81" s="80"/>
      <c r="FZ81" s="80"/>
    </row>
    <row r="82" spans="8:182" ht="18" customHeight="1"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0"/>
      <c r="BD82" s="80"/>
      <c r="BE82" s="80"/>
      <c r="BF82" s="80"/>
      <c r="BG82" s="80"/>
      <c r="BH82" s="80"/>
      <c r="BI82" s="80"/>
      <c r="BJ82" s="80"/>
      <c r="BK82" s="80"/>
      <c r="BL82" s="80"/>
      <c r="BM82" s="80"/>
      <c r="BN82" s="80"/>
      <c r="BO82" s="80"/>
      <c r="BP82" s="80"/>
      <c r="BQ82" s="80"/>
      <c r="BR82" s="80"/>
      <c r="BS82" s="80"/>
      <c r="BT82" s="80"/>
      <c r="BU82" s="80"/>
      <c r="BV82" s="80"/>
      <c r="BW82" s="80"/>
      <c r="BX82" s="80"/>
      <c r="BY82" s="80"/>
      <c r="BZ82" s="80"/>
      <c r="CA82" s="80"/>
      <c r="CB82" s="80"/>
      <c r="CC82" s="80"/>
      <c r="CD82" s="80"/>
      <c r="CE82" s="80"/>
      <c r="CF82" s="80"/>
      <c r="CG82" s="80"/>
      <c r="CH82" s="80"/>
      <c r="CI82" s="80"/>
      <c r="CJ82" s="80"/>
      <c r="CK82" s="80"/>
      <c r="CL82" s="80"/>
      <c r="CM82" s="80"/>
      <c r="CN82" s="80"/>
      <c r="CO82" s="80"/>
      <c r="CP82" s="80"/>
      <c r="CQ82" s="80"/>
      <c r="CR82" s="80"/>
      <c r="CS82" s="80"/>
      <c r="CT82" s="80"/>
      <c r="CU82" s="80"/>
      <c r="CV82" s="80"/>
      <c r="CW82" s="80"/>
      <c r="CX82" s="80"/>
      <c r="CY82" s="80"/>
      <c r="CZ82" s="80"/>
      <c r="DA82" s="80"/>
      <c r="DB82" s="80"/>
      <c r="DC82" s="80"/>
      <c r="DD82" s="80"/>
      <c r="DE82" s="80"/>
      <c r="DF82" s="80"/>
      <c r="DG82" s="80"/>
      <c r="DH82" s="80"/>
      <c r="DI82" s="80"/>
      <c r="DJ82" s="80"/>
      <c r="DK82" s="80"/>
      <c r="DL82" s="80"/>
      <c r="DM82" s="80"/>
      <c r="DN82" s="80"/>
      <c r="DO82" s="80"/>
      <c r="DP82" s="80"/>
      <c r="DQ82" s="80"/>
      <c r="DR82" s="80"/>
      <c r="DS82" s="80"/>
      <c r="DT82" s="80"/>
      <c r="DU82" s="80"/>
      <c r="DV82" s="80"/>
      <c r="DW82" s="80"/>
      <c r="DX82" s="80"/>
      <c r="DY82" s="80"/>
      <c r="DZ82" s="80"/>
      <c r="EA82" s="80"/>
      <c r="EB82" s="80"/>
      <c r="EC82" s="80"/>
      <c r="ED82" s="80"/>
      <c r="EE82" s="80"/>
      <c r="EF82" s="80"/>
      <c r="EG82" s="80"/>
      <c r="EH82" s="80"/>
      <c r="EI82" s="80"/>
      <c r="EJ82" s="80"/>
      <c r="EK82" s="80"/>
      <c r="EL82" s="80"/>
      <c r="EM82" s="80"/>
      <c r="EN82" s="80"/>
      <c r="EO82" s="80"/>
      <c r="EP82" s="80"/>
      <c r="EQ82" s="80"/>
      <c r="ER82" s="80"/>
      <c r="ES82" s="80"/>
      <c r="ET82" s="80"/>
      <c r="EU82" s="80"/>
      <c r="EV82" s="80"/>
      <c r="EW82" s="80"/>
      <c r="EX82" s="80"/>
      <c r="EY82" s="80"/>
      <c r="EZ82" s="80"/>
      <c r="FA82" s="80"/>
      <c r="FB82" s="80"/>
      <c r="FC82" s="80"/>
      <c r="FD82" s="80"/>
      <c r="FE82" s="80"/>
      <c r="FF82" s="80"/>
      <c r="FG82" s="80"/>
      <c r="FH82" s="80"/>
      <c r="FI82" s="80"/>
      <c r="FJ82" s="80"/>
      <c r="FK82" s="80"/>
      <c r="FL82" s="80"/>
      <c r="FM82" s="80"/>
      <c r="FN82" s="80"/>
      <c r="FO82" s="80"/>
      <c r="FP82" s="80"/>
      <c r="FQ82" s="80"/>
      <c r="FR82" s="80"/>
      <c r="FS82" s="80"/>
      <c r="FT82" s="80"/>
      <c r="FU82" s="80"/>
      <c r="FV82" s="80"/>
      <c r="FW82" s="80"/>
      <c r="FX82" s="80"/>
      <c r="FY82" s="80"/>
      <c r="FZ82" s="80"/>
    </row>
    <row r="83" spans="8:182" ht="18" customHeight="1"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  <c r="AV83" s="80"/>
      <c r="AW83" s="80"/>
      <c r="AX83" s="80"/>
      <c r="AY83" s="80"/>
      <c r="AZ83" s="80"/>
      <c r="BA83" s="80"/>
      <c r="BB83" s="80"/>
      <c r="BC83" s="80"/>
      <c r="BD83" s="80"/>
      <c r="BE83" s="80"/>
      <c r="BF83" s="80"/>
      <c r="BG83" s="80"/>
      <c r="BH83" s="80"/>
      <c r="BI83" s="80"/>
      <c r="BJ83" s="80"/>
      <c r="BK83" s="80"/>
      <c r="BL83" s="80"/>
      <c r="BM83" s="80"/>
      <c r="BN83" s="80"/>
      <c r="BO83" s="80"/>
      <c r="BP83" s="80"/>
      <c r="BQ83" s="80"/>
      <c r="BR83" s="80"/>
      <c r="BS83" s="80"/>
      <c r="BT83" s="80"/>
      <c r="BU83" s="80"/>
      <c r="BV83" s="80"/>
      <c r="BW83" s="80"/>
      <c r="BX83" s="80"/>
      <c r="BY83" s="80"/>
      <c r="BZ83" s="80"/>
      <c r="CA83" s="80"/>
      <c r="CB83" s="80"/>
      <c r="CC83" s="80"/>
      <c r="CD83" s="80"/>
      <c r="CE83" s="80"/>
      <c r="CF83" s="80"/>
      <c r="CG83" s="80"/>
      <c r="CH83" s="80"/>
      <c r="CI83" s="80"/>
      <c r="CJ83" s="80"/>
      <c r="CK83" s="80"/>
      <c r="CL83" s="80"/>
      <c r="CM83" s="80"/>
      <c r="CN83" s="80"/>
      <c r="CO83" s="80"/>
      <c r="CP83" s="80"/>
      <c r="CQ83" s="80"/>
      <c r="CR83" s="80"/>
      <c r="CS83" s="80"/>
      <c r="CT83" s="80"/>
      <c r="CU83" s="80"/>
      <c r="CV83" s="80"/>
      <c r="CW83" s="80"/>
      <c r="CX83" s="80"/>
      <c r="CY83" s="80"/>
      <c r="CZ83" s="80"/>
      <c r="DA83" s="80"/>
      <c r="DB83" s="80"/>
      <c r="DC83" s="80"/>
      <c r="DD83" s="80"/>
      <c r="DE83" s="80"/>
      <c r="DF83" s="80"/>
      <c r="DG83" s="80"/>
      <c r="DH83" s="80"/>
      <c r="DI83" s="80"/>
      <c r="DJ83" s="80"/>
      <c r="DK83" s="80"/>
      <c r="DL83" s="80"/>
      <c r="DM83" s="80"/>
      <c r="DN83" s="80"/>
      <c r="DO83" s="80"/>
      <c r="DP83" s="80"/>
      <c r="DQ83" s="80"/>
      <c r="DR83" s="80"/>
      <c r="DS83" s="80"/>
      <c r="DT83" s="80"/>
      <c r="DU83" s="80"/>
      <c r="DV83" s="80"/>
      <c r="DW83" s="80"/>
      <c r="DX83" s="80"/>
      <c r="DY83" s="80"/>
      <c r="DZ83" s="80"/>
      <c r="EA83" s="80"/>
      <c r="EB83" s="80"/>
      <c r="EC83" s="80"/>
      <c r="ED83" s="80"/>
      <c r="EE83" s="80"/>
      <c r="EF83" s="80"/>
      <c r="EG83" s="80"/>
      <c r="EH83" s="80"/>
      <c r="EI83" s="80"/>
      <c r="EJ83" s="80"/>
      <c r="EK83" s="80"/>
      <c r="EL83" s="80"/>
      <c r="EM83" s="80"/>
      <c r="EN83" s="80"/>
      <c r="EO83" s="80"/>
      <c r="EP83" s="80"/>
      <c r="EQ83" s="80"/>
      <c r="ER83" s="80"/>
      <c r="ES83" s="80"/>
      <c r="ET83" s="80"/>
      <c r="EU83" s="80"/>
      <c r="EV83" s="80"/>
      <c r="EW83" s="80"/>
      <c r="EX83" s="80"/>
      <c r="EY83" s="80"/>
      <c r="EZ83" s="80"/>
      <c r="FA83" s="80"/>
      <c r="FB83" s="80"/>
      <c r="FC83" s="80"/>
      <c r="FD83" s="80"/>
      <c r="FE83" s="80"/>
      <c r="FF83" s="80"/>
      <c r="FG83" s="80"/>
      <c r="FH83" s="80"/>
      <c r="FI83" s="80"/>
      <c r="FJ83" s="80"/>
      <c r="FK83" s="80"/>
      <c r="FL83" s="80"/>
      <c r="FM83" s="80"/>
      <c r="FN83" s="80"/>
      <c r="FO83" s="80"/>
      <c r="FP83" s="80"/>
      <c r="FQ83" s="80"/>
      <c r="FR83" s="80"/>
      <c r="FS83" s="80"/>
      <c r="FT83" s="80"/>
      <c r="FU83" s="80"/>
      <c r="FV83" s="80"/>
      <c r="FW83" s="80"/>
      <c r="FX83" s="80"/>
      <c r="FY83" s="80"/>
      <c r="FZ83" s="80"/>
    </row>
    <row r="84" spans="8:182" ht="18" customHeight="1"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80"/>
      <c r="AT84" s="80"/>
      <c r="AU84" s="80"/>
      <c r="AV84" s="80"/>
      <c r="AW84" s="80"/>
      <c r="AX84" s="80"/>
      <c r="AY84" s="80"/>
      <c r="AZ84" s="80"/>
      <c r="BA84" s="80"/>
      <c r="BB84" s="80"/>
      <c r="BC84" s="80"/>
      <c r="BD84" s="80"/>
      <c r="BE84" s="80"/>
      <c r="BF84" s="80"/>
      <c r="BG84" s="80"/>
      <c r="BH84" s="80"/>
      <c r="BI84" s="80"/>
      <c r="BJ84" s="80"/>
      <c r="BK84" s="80"/>
      <c r="BL84" s="80"/>
      <c r="BM84" s="80"/>
      <c r="BN84" s="80"/>
      <c r="BO84" s="80"/>
      <c r="BP84" s="80"/>
      <c r="BQ84" s="80"/>
      <c r="BR84" s="80"/>
      <c r="BS84" s="80"/>
      <c r="BT84" s="80"/>
      <c r="BU84" s="80"/>
      <c r="BV84" s="80"/>
      <c r="BW84" s="80"/>
      <c r="BX84" s="80"/>
      <c r="BY84" s="80"/>
      <c r="BZ84" s="80"/>
      <c r="CA84" s="80"/>
      <c r="CB84" s="80"/>
      <c r="CC84" s="80"/>
      <c r="CD84" s="80"/>
      <c r="CE84" s="80"/>
      <c r="CF84" s="80"/>
      <c r="CG84" s="80"/>
      <c r="CH84" s="80"/>
      <c r="CI84" s="80"/>
      <c r="CJ84" s="80"/>
      <c r="CK84" s="80"/>
      <c r="CL84" s="80"/>
      <c r="CM84" s="80"/>
      <c r="CN84" s="80"/>
      <c r="CO84" s="80"/>
      <c r="CP84" s="80"/>
      <c r="CQ84" s="80"/>
      <c r="CR84" s="80"/>
      <c r="CS84" s="80"/>
      <c r="CT84" s="80"/>
      <c r="CU84" s="80"/>
      <c r="CV84" s="80"/>
      <c r="CW84" s="80"/>
      <c r="CX84" s="80"/>
      <c r="CY84" s="80"/>
      <c r="CZ84" s="80"/>
      <c r="DA84" s="80"/>
      <c r="DB84" s="80"/>
      <c r="DC84" s="80"/>
      <c r="DD84" s="80"/>
      <c r="DE84" s="80"/>
      <c r="DF84" s="80"/>
      <c r="DG84" s="80"/>
      <c r="DH84" s="80"/>
      <c r="DI84" s="80"/>
      <c r="DJ84" s="80"/>
      <c r="DK84" s="80"/>
      <c r="DL84" s="80"/>
      <c r="DM84" s="80"/>
      <c r="DN84" s="80"/>
      <c r="DO84" s="80"/>
      <c r="DP84" s="80"/>
      <c r="DQ84" s="80"/>
      <c r="DR84" s="80"/>
      <c r="DS84" s="80"/>
      <c r="DT84" s="80"/>
      <c r="DU84" s="80"/>
      <c r="DV84" s="80"/>
      <c r="DW84" s="80"/>
      <c r="DX84" s="80"/>
      <c r="DY84" s="80"/>
      <c r="DZ84" s="80"/>
      <c r="EA84" s="80"/>
      <c r="EB84" s="80"/>
      <c r="EC84" s="80"/>
      <c r="ED84" s="80"/>
      <c r="EE84" s="80"/>
      <c r="EF84" s="80"/>
      <c r="EG84" s="80"/>
      <c r="EH84" s="80"/>
      <c r="EI84" s="80"/>
      <c r="EJ84" s="80"/>
      <c r="EK84" s="80"/>
      <c r="EL84" s="80"/>
      <c r="EM84" s="80"/>
      <c r="EN84" s="80"/>
      <c r="EO84" s="80"/>
      <c r="EP84" s="80"/>
      <c r="EQ84" s="80"/>
      <c r="ER84" s="80"/>
      <c r="ES84" s="80"/>
      <c r="ET84" s="80"/>
      <c r="EU84" s="80"/>
      <c r="EV84" s="80"/>
      <c r="EW84" s="80"/>
      <c r="EX84" s="80"/>
      <c r="EY84" s="80"/>
      <c r="EZ84" s="80"/>
      <c r="FA84" s="80"/>
      <c r="FB84" s="80"/>
      <c r="FC84" s="80"/>
      <c r="FD84" s="80"/>
      <c r="FE84" s="80"/>
      <c r="FF84" s="80"/>
      <c r="FG84" s="80"/>
      <c r="FH84" s="80"/>
      <c r="FI84" s="80"/>
      <c r="FJ84" s="80"/>
      <c r="FK84" s="80"/>
      <c r="FL84" s="80"/>
      <c r="FM84" s="80"/>
      <c r="FN84" s="80"/>
      <c r="FO84" s="80"/>
      <c r="FP84" s="80"/>
      <c r="FQ84" s="80"/>
      <c r="FR84" s="80"/>
      <c r="FS84" s="80"/>
      <c r="FT84" s="80"/>
      <c r="FU84" s="80"/>
      <c r="FV84" s="80"/>
      <c r="FW84" s="80"/>
      <c r="FX84" s="80"/>
      <c r="FY84" s="80"/>
      <c r="FZ84" s="80"/>
    </row>
    <row r="85" spans="8:182" ht="18" customHeight="1"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80"/>
      <c r="AT85" s="80"/>
      <c r="AU85" s="80"/>
      <c r="AV85" s="80"/>
      <c r="AW85" s="80"/>
      <c r="AX85" s="80"/>
      <c r="AY85" s="80"/>
      <c r="AZ85" s="80"/>
      <c r="BA85" s="80"/>
      <c r="BB85" s="80"/>
      <c r="BC85" s="80"/>
      <c r="BD85" s="80"/>
      <c r="BE85" s="80"/>
      <c r="BF85" s="80"/>
      <c r="BG85" s="80"/>
      <c r="BH85" s="80"/>
      <c r="BI85" s="80"/>
      <c r="BJ85" s="80"/>
      <c r="BK85" s="80"/>
      <c r="BL85" s="80"/>
      <c r="BM85" s="80"/>
      <c r="BN85" s="80"/>
      <c r="BO85" s="80"/>
      <c r="BP85" s="80"/>
      <c r="BQ85" s="80"/>
      <c r="BR85" s="80"/>
      <c r="BS85" s="80"/>
      <c r="BT85" s="80"/>
      <c r="BU85" s="80"/>
      <c r="BV85" s="80"/>
      <c r="BW85" s="80"/>
      <c r="BX85" s="80"/>
      <c r="BY85" s="80"/>
      <c r="BZ85" s="80"/>
      <c r="CA85" s="80"/>
      <c r="CB85" s="80"/>
      <c r="CC85" s="80"/>
      <c r="CD85" s="80"/>
      <c r="CE85" s="80"/>
      <c r="CF85" s="80"/>
      <c r="CG85" s="80"/>
      <c r="CH85" s="80"/>
      <c r="CI85" s="80"/>
      <c r="CJ85" s="80"/>
      <c r="CK85" s="80"/>
      <c r="CL85" s="80"/>
      <c r="CM85" s="80"/>
      <c r="CN85" s="80"/>
      <c r="CO85" s="80"/>
      <c r="CP85" s="80"/>
      <c r="CQ85" s="80"/>
      <c r="CR85" s="80"/>
      <c r="CS85" s="80"/>
      <c r="CT85" s="80"/>
      <c r="CU85" s="80"/>
      <c r="CV85" s="80"/>
      <c r="CW85" s="80"/>
      <c r="CX85" s="80"/>
      <c r="CY85" s="80"/>
      <c r="CZ85" s="80"/>
      <c r="DA85" s="80"/>
      <c r="DB85" s="80"/>
      <c r="DC85" s="80"/>
      <c r="DD85" s="80"/>
      <c r="DE85" s="80"/>
      <c r="DF85" s="80"/>
      <c r="DG85" s="80"/>
      <c r="DH85" s="80"/>
      <c r="DI85" s="80"/>
      <c r="DJ85" s="80"/>
      <c r="DK85" s="80"/>
      <c r="DL85" s="80"/>
      <c r="DM85" s="80"/>
      <c r="DN85" s="80"/>
      <c r="DO85" s="80"/>
      <c r="DP85" s="80"/>
      <c r="DQ85" s="80"/>
      <c r="DR85" s="80"/>
      <c r="DS85" s="80"/>
      <c r="DT85" s="80"/>
      <c r="DU85" s="80"/>
      <c r="DV85" s="80"/>
      <c r="DW85" s="80"/>
      <c r="DX85" s="80"/>
      <c r="DY85" s="80"/>
      <c r="DZ85" s="80"/>
      <c r="EA85" s="80"/>
      <c r="EB85" s="80"/>
      <c r="EC85" s="80"/>
      <c r="ED85" s="80"/>
      <c r="EE85" s="80"/>
      <c r="EF85" s="80"/>
      <c r="EG85" s="80"/>
      <c r="EH85" s="80"/>
      <c r="EI85" s="80"/>
      <c r="EJ85" s="80"/>
      <c r="EK85" s="80"/>
      <c r="EL85" s="80"/>
      <c r="EM85" s="80"/>
      <c r="EN85" s="80"/>
      <c r="EO85" s="80"/>
      <c r="EP85" s="80"/>
      <c r="EQ85" s="80"/>
      <c r="ER85" s="80"/>
      <c r="ES85" s="80"/>
      <c r="ET85" s="80"/>
      <c r="EU85" s="80"/>
      <c r="EV85" s="80"/>
      <c r="EW85" s="80"/>
      <c r="EX85" s="80"/>
      <c r="EY85" s="80"/>
      <c r="EZ85" s="80"/>
      <c r="FA85" s="80"/>
      <c r="FB85" s="80"/>
      <c r="FC85" s="80"/>
      <c r="FD85" s="80"/>
      <c r="FE85" s="80"/>
      <c r="FF85" s="80"/>
      <c r="FG85" s="80"/>
      <c r="FH85" s="80"/>
      <c r="FI85" s="80"/>
      <c r="FJ85" s="80"/>
      <c r="FK85" s="80"/>
      <c r="FL85" s="80"/>
      <c r="FM85" s="80"/>
      <c r="FN85" s="80"/>
      <c r="FO85" s="80"/>
      <c r="FP85" s="80"/>
      <c r="FQ85" s="80"/>
      <c r="FR85" s="80"/>
      <c r="FS85" s="80"/>
      <c r="FT85" s="80"/>
      <c r="FU85" s="80"/>
      <c r="FV85" s="80"/>
      <c r="FW85" s="80"/>
      <c r="FX85" s="80"/>
      <c r="FY85" s="80"/>
      <c r="FZ85" s="80"/>
    </row>
    <row r="86" spans="8:182" ht="18" customHeight="1"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80"/>
      <c r="AP86" s="80"/>
      <c r="AQ86" s="80"/>
      <c r="AR86" s="80"/>
      <c r="AS86" s="80"/>
      <c r="AT86" s="80"/>
      <c r="AU86" s="80"/>
      <c r="AV86" s="80"/>
      <c r="AW86" s="80"/>
      <c r="AX86" s="80"/>
      <c r="AY86" s="80"/>
      <c r="AZ86" s="80"/>
      <c r="BA86" s="80"/>
      <c r="BB86" s="80"/>
      <c r="BC86" s="80"/>
      <c r="BD86" s="80"/>
      <c r="BE86" s="80"/>
      <c r="BF86" s="80"/>
      <c r="BG86" s="80"/>
      <c r="BH86" s="80"/>
      <c r="BI86" s="80"/>
      <c r="BJ86" s="80"/>
      <c r="BK86" s="80"/>
      <c r="BL86" s="80"/>
      <c r="BM86" s="80"/>
      <c r="BN86" s="80"/>
      <c r="BO86" s="80"/>
      <c r="BP86" s="80"/>
      <c r="BQ86" s="80"/>
      <c r="BR86" s="80"/>
      <c r="BS86" s="80"/>
      <c r="BT86" s="80"/>
      <c r="BU86" s="80"/>
      <c r="BV86" s="80"/>
      <c r="BW86" s="80"/>
      <c r="BX86" s="80"/>
      <c r="BY86" s="80"/>
      <c r="BZ86" s="80"/>
      <c r="CA86" s="80"/>
      <c r="CB86" s="80"/>
      <c r="CC86" s="80"/>
      <c r="CD86" s="80"/>
      <c r="CE86" s="80"/>
      <c r="CF86" s="80"/>
      <c r="CG86" s="80"/>
      <c r="CH86" s="80"/>
      <c r="CI86" s="80"/>
      <c r="CJ86" s="80"/>
      <c r="CK86" s="80"/>
      <c r="CL86" s="80"/>
      <c r="CM86" s="80"/>
      <c r="CN86" s="80"/>
      <c r="CO86" s="80"/>
      <c r="CP86" s="80"/>
      <c r="CQ86" s="80"/>
      <c r="CR86" s="80"/>
      <c r="CS86" s="80"/>
      <c r="CT86" s="80"/>
      <c r="CU86" s="80"/>
      <c r="CV86" s="80"/>
      <c r="CW86" s="80"/>
      <c r="CX86" s="80"/>
      <c r="CY86" s="80"/>
      <c r="CZ86" s="80"/>
      <c r="DA86" s="80"/>
      <c r="DB86" s="80"/>
      <c r="DC86" s="80"/>
      <c r="DD86" s="80"/>
      <c r="DE86" s="80"/>
      <c r="DF86" s="80"/>
      <c r="DG86" s="80"/>
      <c r="DH86" s="80"/>
      <c r="DI86" s="80"/>
      <c r="DJ86" s="80"/>
      <c r="DK86" s="80"/>
      <c r="DL86" s="80"/>
      <c r="DM86" s="80"/>
      <c r="DN86" s="80"/>
      <c r="DO86" s="80"/>
      <c r="DP86" s="80"/>
      <c r="DQ86" s="80"/>
      <c r="DR86" s="80"/>
      <c r="DS86" s="80"/>
      <c r="DT86" s="80"/>
      <c r="DU86" s="80"/>
      <c r="DV86" s="80"/>
      <c r="DW86" s="80"/>
      <c r="DX86" s="80"/>
      <c r="DY86" s="80"/>
      <c r="DZ86" s="80"/>
      <c r="EA86" s="80"/>
      <c r="EB86" s="80"/>
      <c r="EC86" s="80"/>
      <c r="ED86" s="80"/>
      <c r="EE86" s="80"/>
      <c r="EF86" s="80"/>
      <c r="EG86" s="80"/>
      <c r="EH86" s="80"/>
      <c r="EI86" s="80"/>
      <c r="EJ86" s="80"/>
      <c r="EK86" s="80"/>
      <c r="EL86" s="80"/>
      <c r="EM86" s="80"/>
      <c r="EN86" s="80"/>
      <c r="EO86" s="80"/>
      <c r="EP86" s="80"/>
      <c r="EQ86" s="80"/>
      <c r="ER86" s="80"/>
      <c r="ES86" s="80"/>
      <c r="ET86" s="80"/>
      <c r="EU86" s="80"/>
      <c r="EV86" s="80"/>
      <c r="EW86" s="80"/>
      <c r="EX86" s="80"/>
      <c r="EY86" s="80"/>
      <c r="EZ86" s="80"/>
      <c r="FA86" s="80"/>
      <c r="FB86" s="80"/>
      <c r="FC86" s="80"/>
      <c r="FD86" s="80"/>
      <c r="FE86" s="80"/>
      <c r="FF86" s="80"/>
      <c r="FG86" s="80"/>
      <c r="FH86" s="80"/>
      <c r="FI86" s="80"/>
      <c r="FJ86" s="80"/>
      <c r="FK86" s="80"/>
      <c r="FL86" s="80"/>
      <c r="FM86" s="80"/>
      <c r="FN86" s="80"/>
      <c r="FO86" s="80"/>
      <c r="FP86" s="80"/>
      <c r="FQ86" s="80"/>
      <c r="FR86" s="80"/>
      <c r="FS86" s="80"/>
      <c r="FT86" s="80"/>
      <c r="FU86" s="80"/>
      <c r="FV86" s="80"/>
      <c r="FW86" s="80"/>
      <c r="FX86" s="80"/>
      <c r="FY86" s="80"/>
      <c r="FZ86" s="80"/>
    </row>
    <row r="87" spans="8:182" ht="18" customHeight="1"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80"/>
      <c r="AP87" s="80"/>
      <c r="AQ87" s="80"/>
      <c r="AR87" s="80"/>
      <c r="AS87" s="80"/>
      <c r="AT87" s="80"/>
      <c r="AU87" s="80"/>
      <c r="AV87" s="80"/>
      <c r="AW87" s="80"/>
      <c r="AX87" s="80"/>
      <c r="AY87" s="80"/>
      <c r="AZ87" s="80"/>
      <c r="BA87" s="80"/>
      <c r="BB87" s="80"/>
      <c r="BC87" s="80"/>
      <c r="BD87" s="80"/>
      <c r="BE87" s="80"/>
      <c r="BF87" s="80"/>
      <c r="BG87" s="80"/>
      <c r="BH87" s="80"/>
      <c r="BI87" s="80"/>
      <c r="BJ87" s="80"/>
      <c r="BK87" s="80"/>
      <c r="BL87" s="80"/>
      <c r="BM87" s="80"/>
      <c r="BN87" s="80"/>
      <c r="BO87" s="80"/>
      <c r="BP87" s="80"/>
      <c r="BQ87" s="80"/>
      <c r="BR87" s="80"/>
      <c r="BS87" s="80"/>
      <c r="BT87" s="80"/>
      <c r="BU87" s="80"/>
      <c r="BV87" s="80"/>
      <c r="BW87" s="80"/>
      <c r="BX87" s="80"/>
      <c r="BY87" s="80"/>
      <c r="BZ87" s="80"/>
      <c r="CA87" s="80"/>
      <c r="CB87" s="80"/>
      <c r="CC87" s="80"/>
      <c r="CD87" s="80"/>
      <c r="CE87" s="80"/>
      <c r="CF87" s="80"/>
      <c r="CG87" s="80"/>
      <c r="CH87" s="80"/>
      <c r="CI87" s="80"/>
      <c r="CJ87" s="80"/>
      <c r="CK87" s="80"/>
      <c r="CL87" s="80"/>
      <c r="CM87" s="80"/>
      <c r="CN87" s="80"/>
      <c r="CO87" s="80"/>
      <c r="CP87" s="80"/>
      <c r="CQ87" s="80"/>
      <c r="CR87" s="80"/>
      <c r="CS87" s="80"/>
      <c r="CT87" s="80"/>
      <c r="CU87" s="80"/>
      <c r="CV87" s="80"/>
      <c r="CW87" s="80"/>
      <c r="CX87" s="80"/>
      <c r="CY87" s="80"/>
      <c r="CZ87" s="80"/>
      <c r="DA87" s="80"/>
      <c r="DB87" s="80"/>
      <c r="DC87" s="80"/>
      <c r="DD87" s="80"/>
      <c r="DE87" s="80"/>
      <c r="DF87" s="80"/>
      <c r="DG87" s="80"/>
      <c r="DH87" s="80"/>
      <c r="DI87" s="80"/>
      <c r="DJ87" s="80"/>
      <c r="DK87" s="80"/>
      <c r="DL87" s="80"/>
      <c r="DM87" s="80"/>
      <c r="DN87" s="80"/>
      <c r="DO87" s="80"/>
      <c r="DP87" s="80"/>
      <c r="DQ87" s="80"/>
      <c r="DR87" s="80"/>
      <c r="DS87" s="80"/>
      <c r="DT87" s="80"/>
      <c r="DU87" s="80"/>
      <c r="DV87" s="80"/>
      <c r="DW87" s="80"/>
      <c r="DX87" s="80"/>
      <c r="DY87" s="80"/>
      <c r="DZ87" s="80"/>
      <c r="EA87" s="80"/>
      <c r="EB87" s="80"/>
      <c r="EC87" s="80"/>
      <c r="ED87" s="80"/>
      <c r="EE87" s="80"/>
      <c r="EF87" s="80"/>
      <c r="EG87" s="80"/>
      <c r="EH87" s="80"/>
      <c r="EI87" s="80"/>
      <c r="EJ87" s="80"/>
      <c r="EK87" s="80"/>
      <c r="EL87" s="80"/>
      <c r="EM87" s="80"/>
      <c r="EN87" s="80"/>
      <c r="EO87" s="80"/>
      <c r="EP87" s="80"/>
      <c r="EQ87" s="80"/>
      <c r="ER87" s="80"/>
      <c r="ES87" s="80"/>
      <c r="ET87" s="80"/>
      <c r="EU87" s="80"/>
      <c r="EV87" s="80"/>
      <c r="EW87" s="80"/>
      <c r="EX87" s="80"/>
      <c r="EY87" s="80"/>
      <c r="EZ87" s="80"/>
      <c r="FA87" s="80"/>
      <c r="FB87" s="80"/>
      <c r="FC87" s="80"/>
      <c r="FD87" s="80"/>
      <c r="FE87" s="80"/>
      <c r="FF87" s="80"/>
      <c r="FG87" s="80"/>
      <c r="FH87" s="80"/>
      <c r="FI87" s="80"/>
      <c r="FJ87" s="80"/>
      <c r="FK87" s="80"/>
      <c r="FL87" s="80"/>
      <c r="FM87" s="80"/>
      <c r="FN87" s="80"/>
      <c r="FO87" s="80"/>
      <c r="FP87" s="80"/>
      <c r="FQ87" s="80"/>
      <c r="FR87" s="80"/>
      <c r="FS87" s="80"/>
      <c r="FT87" s="80"/>
      <c r="FU87" s="80"/>
      <c r="FV87" s="80"/>
      <c r="FW87" s="80"/>
      <c r="FX87" s="80"/>
      <c r="FY87" s="80"/>
      <c r="FZ87" s="80"/>
    </row>
    <row r="88" spans="8:182" ht="18" customHeight="1"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  <c r="AS88" s="80"/>
      <c r="AT88" s="80"/>
      <c r="AU88" s="80"/>
      <c r="AV88" s="80"/>
      <c r="AW88" s="80"/>
      <c r="AX88" s="80"/>
      <c r="AY88" s="80"/>
      <c r="AZ88" s="80"/>
      <c r="BA88" s="80"/>
      <c r="BB88" s="80"/>
      <c r="BC88" s="80"/>
      <c r="BD88" s="80"/>
      <c r="BE88" s="80"/>
      <c r="BF88" s="80"/>
      <c r="BG88" s="80"/>
      <c r="BH88" s="80"/>
      <c r="BI88" s="80"/>
      <c r="BJ88" s="80"/>
      <c r="BK88" s="80"/>
      <c r="BL88" s="80"/>
      <c r="BM88" s="80"/>
      <c r="BN88" s="80"/>
      <c r="BO88" s="80"/>
      <c r="BP88" s="80"/>
      <c r="BQ88" s="80"/>
      <c r="BR88" s="80"/>
      <c r="BS88" s="80"/>
      <c r="BT88" s="80"/>
      <c r="BU88" s="80"/>
      <c r="BV88" s="80"/>
      <c r="BW88" s="80"/>
      <c r="BX88" s="80"/>
      <c r="BY88" s="80"/>
      <c r="BZ88" s="80"/>
      <c r="CA88" s="80"/>
      <c r="CB88" s="80"/>
      <c r="CC88" s="80"/>
      <c r="CD88" s="80"/>
      <c r="CE88" s="80"/>
      <c r="CF88" s="80"/>
      <c r="CG88" s="80"/>
      <c r="CH88" s="80"/>
      <c r="CI88" s="80"/>
      <c r="CJ88" s="80"/>
      <c r="CK88" s="80"/>
      <c r="CL88" s="80"/>
      <c r="CM88" s="80"/>
      <c r="CN88" s="80"/>
      <c r="CO88" s="80"/>
      <c r="CP88" s="80"/>
      <c r="CQ88" s="80"/>
      <c r="CR88" s="80"/>
      <c r="CS88" s="80"/>
      <c r="CT88" s="80"/>
      <c r="CU88" s="80"/>
      <c r="CV88" s="80"/>
      <c r="CW88" s="80"/>
      <c r="CX88" s="80"/>
      <c r="CY88" s="80"/>
      <c r="CZ88" s="80"/>
      <c r="DA88" s="80"/>
      <c r="DB88" s="80"/>
      <c r="DC88" s="80"/>
      <c r="DD88" s="80"/>
      <c r="DE88" s="80"/>
      <c r="DF88" s="80"/>
      <c r="DG88" s="80"/>
      <c r="DH88" s="80"/>
      <c r="DI88" s="80"/>
      <c r="DJ88" s="80"/>
      <c r="DK88" s="80"/>
      <c r="DL88" s="80"/>
      <c r="DM88" s="80"/>
      <c r="DN88" s="80"/>
      <c r="DO88" s="80"/>
      <c r="DP88" s="80"/>
      <c r="DQ88" s="80"/>
      <c r="DR88" s="80"/>
      <c r="DS88" s="80"/>
      <c r="DT88" s="80"/>
      <c r="DU88" s="80"/>
      <c r="DV88" s="80"/>
      <c r="DW88" s="80"/>
      <c r="DX88" s="80"/>
      <c r="DY88" s="80"/>
      <c r="DZ88" s="80"/>
      <c r="EA88" s="80"/>
      <c r="EB88" s="80"/>
      <c r="EC88" s="80"/>
      <c r="ED88" s="80"/>
      <c r="EE88" s="80"/>
      <c r="EF88" s="80"/>
      <c r="EG88" s="80"/>
      <c r="EH88" s="80"/>
      <c r="EI88" s="80"/>
      <c r="EJ88" s="80"/>
      <c r="EK88" s="80"/>
      <c r="EL88" s="80"/>
      <c r="EM88" s="80"/>
      <c r="EN88" s="80"/>
      <c r="EO88" s="80"/>
      <c r="EP88" s="80"/>
      <c r="EQ88" s="80"/>
      <c r="ER88" s="80"/>
      <c r="ES88" s="80"/>
      <c r="ET88" s="80"/>
      <c r="EU88" s="80"/>
      <c r="EV88" s="80"/>
      <c r="EW88" s="80"/>
      <c r="EX88" s="80"/>
      <c r="EY88" s="80"/>
      <c r="EZ88" s="80"/>
      <c r="FA88" s="80"/>
      <c r="FB88" s="80"/>
      <c r="FC88" s="80"/>
      <c r="FD88" s="80"/>
      <c r="FE88" s="80"/>
      <c r="FF88" s="80"/>
      <c r="FG88" s="80"/>
      <c r="FH88" s="80"/>
      <c r="FI88" s="80"/>
      <c r="FJ88" s="80"/>
      <c r="FK88" s="80"/>
      <c r="FL88" s="80"/>
      <c r="FM88" s="80"/>
      <c r="FN88" s="80"/>
      <c r="FO88" s="80"/>
      <c r="FP88" s="80"/>
      <c r="FQ88" s="80"/>
      <c r="FR88" s="80"/>
      <c r="FS88" s="80"/>
      <c r="FT88" s="80"/>
      <c r="FU88" s="80"/>
      <c r="FV88" s="80"/>
      <c r="FW88" s="80"/>
      <c r="FX88" s="80"/>
      <c r="FY88" s="80"/>
      <c r="FZ88" s="80"/>
    </row>
    <row r="89" spans="8:182" ht="18" customHeight="1"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S89" s="80"/>
      <c r="AT89" s="80"/>
      <c r="AU89" s="80"/>
      <c r="AV89" s="80"/>
      <c r="AW89" s="80"/>
      <c r="AX89" s="80"/>
      <c r="AY89" s="80"/>
      <c r="AZ89" s="80"/>
      <c r="BA89" s="80"/>
      <c r="BB89" s="80"/>
      <c r="BC89" s="80"/>
      <c r="BD89" s="80"/>
      <c r="BE89" s="80"/>
      <c r="BF89" s="80"/>
      <c r="BG89" s="80"/>
      <c r="BH89" s="80"/>
      <c r="BI89" s="80"/>
      <c r="BJ89" s="80"/>
      <c r="BK89" s="80"/>
      <c r="BL89" s="80"/>
      <c r="BM89" s="80"/>
      <c r="BN89" s="80"/>
      <c r="BO89" s="80"/>
      <c r="BP89" s="80"/>
      <c r="BQ89" s="80"/>
      <c r="BR89" s="80"/>
      <c r="BS89" s="80"/>
      <c r="BT89" s="80"/>
      <c r="BU89" s="80"/>
      <c r="BV89" s="80"/>
      <c r="BW89" s="80"/>
      <c r="BX89" s="80"/>
      <c r="BY89" s="80"/>
      <c r="BZ89" s="80"/>
      <c r="CA89" s="80"/>
      <c r="CB89" s="80"/>
      <c r="CC89" s="80"/>
      <c r="CD89" s="80"/>
      <c r="CE89" s="80"/>
      <c r="CF89" s="80"/>
      <c r="CG89" s="80"/>
      <c r="CH89" s="80"/>
      <c r="CI89" s="80"/>
      <c r="CJ89" s="80"/>
      <c r="CK89" s="80"/>
      <c r="CL89" s="80"/>
      <c r="CM89" s="80"/>
      <c r="CN89" s="80"/>
      <c r="CO89" s="80"/>
      <c r="CP89" s="80"/>
      <c r="CQ89" s="80"/>
      <c r="CR89" s="80"/>
      <c r="CS89" s="80"/>
      <c r="CT89" s="80"/>
      <c r="CU89" s="80"/>
      <c r="CV89" s="80"/>
      <c r="CW89" s="80"/>
      <c r="CX89" s="80"/>
      <c r="CY89" s="80"/>
      <c r="CZ89" s="80"/>
      <c r="DA89" s="80"/>
      <c r="DB89" s="80"/>
      <c r="DC89" s="80"/>
      <c r="DD89" s="80"/>
      <c r="DE89" s="80"/>
      <c r="DF89" s="80"/>
      <c r="DG89" s="80"/>
      <c r="DH89" s="80"/>
      <c r="DI89" s="80"/>
      <c r="DJ89" s="80"/>
      <c r="DK89" s="80"/>
      <c r="DL89" s="80"/>
      <c r="DM89" s="80"/>
      <c r="DN89" s="80"/>
      <c r="DO89" s="80"/>
      <c r="DP89" s="80"/>
      <c r="DQ89" s="80"/>
      <c r="DR89" s="80"/>
      <c r="DS89" s="80"/>
      <c r="DT89" s="80"/>
      <c r="DU89" s="80"/>
      <c r="DV89" s="80"/>
      <c r="DW89" s="80"/>
      <c r="DX89" s="80"/>
      <c r="DY89" s="80"/>
      <c r="DZ89" s="80"/>
      <c r="EA89" s="80"/>
      <c r="EB89" s="80"/>
      <c r="EC89" s="80"/>
      <c r="ED89" s="80"/>
      <c r="EE89" s="80"/>
      <c r="EF89" s="80"/>
      <c r="EG89" s="80"/>
      <c r="EH89" s="80"/>
      <c r="EI89" s="80"/>
      <c r="EJ89" s="80"/>
      <c r="EK89" s="80"/>
      <c r="EL89" s="80"/>
      <c r="EM89" s="80"/>
      <c r="EN89" s="80"/>
      <c r="EO89" s="80"/>
      <c r="EP89" s="80"/>
      <c r="EQ89" s="80"/>
      <c r="ER89" s="80"/>
      <c r="ES89" s="80"/>
      <c r="ET89" s="80"/>
      <c r="EU89" s="80"/>
      <c r="EV89" s="80"/>
      <c r="EW89" s="80"/>
      <c r="EX89" s="80"/>
      <c r="EY89" s="80"/>
      <c r="EZ89" s="80"/>
      <c r="FA89" s="80"/>
      <c r="FB89" s="80"/>
      <c r="FC89" s="80"/>
      <c r="FD89" s="80"/>
      <c r="FE89" s="80"/>
      <c r="FF89" s="80"/>
      <c r="FG89" s="80"/>
      <c r="FH89" s="80"/>
      <c r="FI89" s="80"/>
      <c r="FJ89" s="80"/>
      <c r="FK89" s="80"/>
      <c r="FL89" s="80"/>
      <c r="FM89" s="80"/>
      <c r="FN89" s="80"/>
      <c r="FO89" s="80"/>
      <c r="FP89" s="80"/>
      <c r="FQ89" s="80"/>
      <c r="FR89" s="80"/>
      <c r="FS89" s="80"/>
      <c r="FT89" s="80"/>
      <c r="FU89" s="80"/>
      <c r="FV89" s="80"/>
      <c r="FW89" s="80"/>
      <c r="FX89" s="80"/>
      <c r="FY89" s="80"/>
      <c r="FZ89" s="80"/>
    </row>
    <row r="90" spans="8:182" ht="18" customHeight="1"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80"/>
      <c r="AS90" s="80"/>
      <c r="AT90" s="80"/>
      <c r="AU90" s="80"/>
      <c r="AV90" s="80"/>
      <c r="AW90" s="80"/>
      <c r="AX90" s="80"/>
      <c r="AY90" s="80"/>
      <c r="AZ90" s="80"/>
      <c r="BA90" s="80"/>
      <c r="BB90" s="80"/>
      <c r="BC90" s="80"/>
      <c r="BD90" s="80"/>
      <c r="BE90" s="80"/>
      <c r="BF90" s="80"/>
      <c r="BG90" s="80"/>
      <c r="BH90" s="80"/>
      <c r="BI90" s="80"/>
      <c r="BJ90" s="80"/>
      <c r="BK90" s="80"/>
      <c r="BL90" s="80"/>
      <c r="BM90" s="80"/>
      <c r="BN90" s="80"/>
      <c r="BO90" s="80"/>
      <c r="BP90" s="80"/>
      <c r="BQ90" s="80"/>
      <c r="BR90" s="80"/>
      <c r="BS90" s="80"/>
      <c r="BT90" s="80"/>
      <c r="BU90" s="80"/>
      <c r="BV90" s="80"/>
      <c r="BW90" s="80"/>
      <c r="BX90" s="80"/>
      <c r="BY90" s="80"/>
      <c r="BZ90" s="80"/>
      <c r="CA90" s="80"/>
      <c r="CB90" s="80"/>
      <c r="CC90" s="80"/>
      <c r="CD90" s="80"/>
      <c r="CE90" s="80"/>
      <c r="CF90" s="80"/>
      <c r="CG90" s="80"/>
      <c r="CH90" s="80"/>
      <c r="CI90" s="80"/>
      <c r="CJ90" s="80"/>
      <c r="CK90" s="80"/>
      <c r="CL90" s="80"/>
      <c r="CM90" s="80"/>
      <c r="CN90" s="80"/>
      <c r="CO90" s="80"/>
      <c r="CP90" s="80"/>
      <c r="CQ90" s="80"/>
      <c r="CR90" s="80"/>
      <c r="CS90" s="80"/>
      <c r="CT90" s="80"/>
      <c r="CU90" s="80"/>
      <c r="CV90" s="80"/>
      <c r="CW90" s="80"/>
      <c r="CX90" s="80"/>
      <c r="CY90" s="80"/>
      <c r="CZ90" s="80"/>
      <c r="DA90" s="80"/>
      <c r="DB90" s="80"/>
      <c r="DC90" s="80"/>
      <c r="DD90" s="80"/>
      <c r="DE90" s="80"/>
      <c r="DF90" s="80"/>
      <c r="DG90" s="80"/>
      <c r="DH90" s="80"/>
      <c r="DI90" s="80"/>
      <c r="DJ90" s="80"/>
      <c r="DK90" s="80"/>
      <c r="DL90" s="80"/>
      <c r="DM90" s="80"/>
      <c r="DN90" s="80"/>
      <c r="DO90" s="80"/>
      <c r="DP90" s="80"/>
      <c r="DQ90" s="80"/>
      <c r="DR90" s="80"/>
      <c r="DS90" s="80"/>
      <c r="DT90" s="80"/>
      <c r="DU90" s="80"/>
      <c r="DV90" s="80"/>
      <c r="DW90" s="80"/>
      <c r="DX90" s="80"/>
      <c r="DY90" s="80"/>
      <c r="DZ90" s="80"/>
      <c r="EA90" s="80"/>
      <c r="EB90" s="80"/>
      <c r="EC90" s="80"/>
      <c r="ED90" s="80"/>
      <c r="EE90" s="80"/>
      <c r="EF90" s="80"/>
      <c r="EG90" s="80"/>
      <c r="EH90" s="80"/>
      <c r="EI90" s="80"/>
      <c r="EJ90" s="80"/>
      <c r="EK90" s="80"/>
      <c r="EL90" s="80"/>
      <c r="EM90" s="80"/>
      <c r="EN90" s="80"/>
      <c r="EO90" s="80"/>
      <c r="EP90" s="80"/>
      <c r="EQ90" s="80"/>
      <c r="ER90" s="80"/>
      <c r="ES90" s="80"/>
      <c r="ET90" s="80"/>
      <c r="EU90" s="80"/>
      <c r="EV90" s="80"/>
      <c r="EW90" s="80"/>
      <c r="EX90" s="80"/>
      <c r="EY90" s="80"/>
      <c r="EZ90" s="80"/>
      <c r="FA90" s="80"/>
      <c r="FB90" s="80"/>
      <c r="FC90" s="80"/>
      <c r="FD90" s="80"/>
      <c r="FE90" s="80"/>
      <c r="FF90" s="80"/>
      <c r="FG90" s="80"/>
      <c r="FH90" s="80"/>
      <c r="FI90" s="80"/>
      <c r="FJ90" s="80"/>
      <c r="FK90" s="80"/>
      <c r="FL90" s="80"/>
      <c r="FM90" s="80"/>
      <c r="FN90" s="80"/>
      <c r="FO90" s="80"/>
      <c r="FP90" s="80"/>
      <c r="FQ90" s="80"/>
      <c r="FR90" s="80"/>
      <c r="FS90" s="80"/>
      <c r="FT90" s="80"/>
      <c r="FU90" s="80"/>
      <c r="FV90" s="80"/>
      <c r="FW90" s="80"/>
      <c r="FX90" s="80"/>
      <c r="FY90" s="80"/>
      <c r="FZ90" s="80"/>
    </row>
    <row r="91" spans="8:182" ht="18" customHeight="1"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0"/>
      <c r="AQ91" s="80"/>
      <c r="AR91" s="80"/>
      <c r="AS91" s="80"/>
      <c r="AT91" s="80"/>
      <c r="AU91" s="80"/>
      <c r="AV91" s="80"/>
      <c r="AW91" s="80"/>
      <c r="AX91" s="80"/>
      <c r="AY91" s="80"/>
      <c r="AZ91" s="80"/>
      <c r="BA91" s="80"/>
      <c r="BB91" s="80"/>
      <c r="BC91" s="80"/>
      <c r="BD91" s="80"/>
      <c r="BE91" s="80"/>
      <c r="BF91" s="80"/>
      <c r="BG91" s="80"/>
      <c r="BH91" s="80"/>
      <c r="BI91" s="80"/>
      <c r="BJ91" s="80"/>
      <c r="BK91" s="80"/>
      <c r="BL91" s="80"/>
      <c r="BM91" s="80"/>
      <c r="BN91" s="80"/>
      <c r="BO91" s="80"/>
      <c r="BP91" s="80"/>
      <c r="BQ91" s="80"/>
      <c r="BR91" s="80"/>
      <c r="BS91" s="80"/>
      <c r="BT91" s="80"/>
      <c r="BU91" s="80"/>
      <c r="BV91" s="80"/>
      <c r="BW91" s="80"/>
      <c r="BX91" s="80"/>
      <c r="BY91" s="80"/>
      <c r="BZ91" s="80"/>
      <c r="CA91" s="80"/>
      <c r="CB91" s="80"/>
      <c r="CC91" s="80"/>
      <c r="CD91" s="80"/>
      <c r="CE91" s="80"/>
      <c r="CF91" s="80"/>
      <c r="CG91" s="80"/>
      <c r="CH91" s="80"/>
      <c r="CI91" s="80"/>
      <c r="CJ91" s="80"/>
      <c r="CK91" s="80"/>
      <c r="CL91" s="80"/>
      <c r="CM91" s="80"/>
      <c r="CN91" s="80"/>
      <c r="CO91" s="80"/>
      <c r="CP91" s="80"/>
      <c r="CQ91" s="80"/>
      <c r="CR91" s="80"/>
      <c r="CS91" s="80"/>
      <c r="CT91" s="80"/>
      <c r="CU91" s="80"/>
      <c r="CV91" s="80"/>
      <c r="CW91" s="80"/>
      <c r="CX91" s="80"/>
      <c r="CY91" s="80"/>
      <c r="CZ91" s="80"/>
      <c r="DA91" s="80"/>
      <c r="DB91" s="80"/>
      <c r="DC91" s="80"/>
      <c r="DD91" s="80"/>
      <c r="DE91" s="80"/>
      <c r="DF91" s="80"/>
      <c r="DG91" s="80"/>
      <c r="DH91" s="80"/>
      <c r="DI91" s="80"/>
      <c r="DJ91" s="80"/>
      <c r="DK91" s="80"/>
      <c r="DL91" s="80"/>
      <c r="DM91" s="80"/>
      <c r="DN91" s="80"/>
      <c r="DO91" s="80"/>
      <c r="DP91" s="80"/>
      <c r="DQ91" s="80"/>
      <c r="DR91" s="80"/>
      <c r="DS91" s="80"/>
      <c r="DT91" s="80"/>
      <c r="DU91" s="80"/>
      <c r="DV91" s="80"/>
      <c r="DW91" s="80"/>
      <c r="DX91" s="80"/>
      <c r="DY91" s="80"/>
      <c r="DZ91" s="80"/>
      <c r="EA91" s="80"/>
      <c r="EB91" s="80"/>
      <c r="EC91" s="80"/>
      <c r="ED91" s="80"/>
      <c r="EE91" s="80"/>
      <c r="EF91" s="80"/>
      <c r="EG91" s="80"/>
      <c r="EH91" s="80"/>
      <c r="EI91" s="80"/>
      <c r="EJ91" s="80"/>
      <c r="EK91" s="80"/>
      <c r="EL91" s="80"/>
      <c r="EM91" s="80"/>
      <c r="EN91" s="80"/>
      <c r="EO91" s="80"/>
      <c r="EP91" s="80"/>
      <c r="EQ91" s="80"/>
      <c r="ER91" s="80"/>
      <c r="ES91" s="80"/>
      <c r="ET91" s="80"/>
      <c r="EU91" s="80"/>
      <c r="EV91" s="80"/>
      <c r="EW91" s="80"/>
      <c r="EX91" s="80"/>
      <c r="EY91" s="80"/>
      <c r="EZ91" s="80"/>
      <c r="FA91" s="80"/>
      <c r="FB91" s="80"/>
      <c r="FC91" s="80"/>
      <c r="FD91" s="80"/>
      <c r="FE91" s="80"/>
      <c r="FF91" s="80"/>
      <c r="FG91" s="80"/>
      <c r="FH91" s="80"/>
      <c r="FI91" s="80"/>
      <c r="FJ91" s="80"/>
      <c r="FK91" s="80"/>
      <c r="FL91" s="80"/>
      <c r="FM91" s="80"/>
      <c r="FN91" s="80"/>
      <c r="FO91" s="80"/>
      <c r="FP91" s="80"/>
      <c r="FQ91" s="80"/>
      <c r="FR91" s="80"/>
      <c r="FS91" s="80"/>
      <c r="FT91" s="80"/>
      <c r="FU91" s="80"/>
      <c r="FV91" s="80"/>
      <c r="FW91" s="80"/>
      <c r="FX91" s="80"/>
      <c r="FY91" s="80"/>
      <c r="FZ91" s="80"/>
    </row>
    <row r="92" spans="8:182" ht="18" customHeight="1"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80"/>
      <c r="AP92" s="80"/>
      <c r="AQ92" s="80"/>
      <c r="AR92" s="80"/>
      <c r="AS92" s="80"/>
      <c r="AT92" s="80"/>
      <c r="AU92" s="80"/>
      <c r="AV92" s="80"/>
      <c r="AW92" s="80"/>
      <c r="AX92" s="80"/>
      <c r="AY92" s="80"/>
      <c r="AZ92" s="80"/>
      <c r="BA92" s="80"/>
      <c r="BB92" s="80"/>
      <c r="BC92" s="80"/>
      <c r="BD92" s="80"/>
      <c r="BE92" s="80"/>
      <c r="BF92" s="80"/>
      <c r="BG92" s="80"/>
      <c r="BH92" s="80"/>
      <c r="BI92" s="80"/>
      <c r="BJ92" s="80"/>
      <c r="BK92" s="80"/>
      <c r="BL92" s="80"/>
      <c r="BM92" s="80"/>
      <c r="BN92" s="80"/>
      <c r="BO92" s="80"/>
      <c r="BP92" s="80"/>
      <c r="BQ92" s="80"/>
      <c r="BR92" s="80"/>
      <c r="BS92" s="80"/>
      <c r="BT92" s="80"/>
      <c r="BU92" s="80"/>
      <c r="BV92" s="80"/>
      <c r="BW92" s="80"/>
      <c r="BX92" s="80"/>
      <c r="BY92" s="80"/>
      <c r="BZ92" s="80"/>
      <c r="CA92" s="80"/>
      <c r="CB92" s="80"/>
      <c r="CC92" s="80"/>
      <c r="CD92" s="80"/>
      <c r="CE92" s="80"/>
      <c r="CF92" s="80"/>
      <c r="CG92" s="80"/>
      <c r="CH92" s="80"/>
      <c r="CI92" s="80"/>
      <c r="CJ92" s="80"/>
      <c r="CK92" s="80"/>
      <c r="CL92" s="80"/>
      <c r="CM92" s="80"/>
      <c r="CN92" s="80"/>
      <c r="CO92" s="80"/>
      <c r="CP92" s="80"/>
      <c r="CQ92" s="80"/>
      <c r="CR92" s="80"/>
      <c r="CS92" s="80"/>
      <c r="CT92" s="80"/>
      <c r="CU92" s="80"/>
      <c r="CV92" s="80"/>
      <c r="CW92" s="80"/>
      <c r="CX92" s="80"/>
      <c r="CY92" s="80"/>
      <c r="CZ92" s="80"/>
      <c r="DA92" s="80"/>
      <c r="DB92" s="80"/>
      <c r="DC92" s="80"/>
      <c r="DD92" s="80"/>
      <c r="DE92" s="80"/>
      <c r="DF92" s="80"/>
      <c r="DG92" s="80"/>
      <c r="DH92" s="80"/>
      <c r="DI92" s="80"/>
      <c r="DJ92" s="80"/>
      <c r="DK92" s="80"/>
      <c r="DL92" s="80"/>
      <c r="DM92" s="80"/>
      <c r="DN92" s="80"/>
      <c r="DO92" s="80"/>
      <c r="DP92" s="80"/>
      <c r="DQ92" s="80"/>
      <c r="DR92" s="80"/>
      <c r="DS92" s="80"/>
      <c r="DT92" s="80"/>
      <c r="DU92" s="80"/>
      <c r="DV92" s="80"/>
      <c r="DW92" s="80"/>
      <c r="DX92" s="80"/>
      <c r="DY92" s="80"/>
      <c r="DZ92" s="80"/>
      <c r="EA92" s="80"/>
      <c r="EB92" s="80"/>
      <c r="EC92" s="80"/>
      <c r="ED92" s="80"/>
      <c r="EE92" s="80"/>
      <c r="EF92" s="80"/>
      <c r="EG92" s="80"/>
      <c r="EH92" s="80"/>
      <c r="EI92" s="80"/>
      <c r="EJ92" s="80"/>
      <c r="EK92" s="80"/>
      <c r="EL92" s="80"/>
      <c r="EM92" s="80"/>
      <c r="EN92" s="80"/>
      <c r="EO92" s="80"/>
      <c r="EP92" s="80"/>
      <c r="EQ92" s="80"/>
      <c r="ER92" s="80"/>
      <c r="ES92" s="80"/>
      <c r="ET92" s="80"/>
      <c r="EU92" s="80"/>
      <c r="EV92" s="80"/>
      <c r="EW92" s="80"/>
      <c r="EX92" s="80"/>
      <c r="EY92" s="80"/>
      <c r="EZ92" s="80"/>
      <c r="FA92" s="80"/>
      <c r="FB92" s="80"/>
      <c r="FC92" s="80"/>
      <c r="FD92" s="80"/>
      <c r="FE92" s="80"/>
      <c r="FF92" s="80"/>
      <c r="FG92" s="80"/>
      <c r="FH92" s="80"/>
      <c r="FI92" s="80"/>
      <c r="FJ92" s="80"/>
      <c r="FK92" s="80"/>
      <c r="FL92" s="80"/>
      <c r="FM92" s="80"/>
      <c r="FN92" s="80"/>
      <c r="FO92" s="80"/>
      <c r="FP92" s="80"/>
      <c r="FQ92" s="80"/>
      <c r="FR92" s="80"/>
      <c r="FS92" s="80"/>
      <c r="FT92" s="80"/>
      <c r="FU92" s="80"/>
      <c r="FV92" s="80"/>
      <c r="FW92" s="80"/>
      <c r="FX92" s="80"/>
      <c r="FY92" s="80"/>
      <c r="FZ92" s="80"/>
    </row>
    <row r="93" spans="8:182" ht="18" customHeight="1"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  <c r="AQ93" s="80"/>
      <c r="AR93" s="80"/>
      <c r="AS93" s="80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0"/>
      <c r="BE93" s="80"/>
      <c r="BF93" s="80"/>
      <c r="BG93" s="80"/>
      <c r="BH93" s="80"/>
      <c r="BI93" s="80"/>
      <c r="BJ93" s="80"/>
      <c r="BK93" s="80"/>
      <c r="BL93" s="80"/>
      <c r="BM93" s="80"/>
      <c r="BN93" s="80"/>
      <c r="BO93" s="80"/>
      <c r="BP93" s="80"/>
      <c r="BQ93" s="80"/>
      <c r="BR93" s="80"/>
      <c r="BS93" s="80"/>
      <c r="BT93" s="80"/>
      <c r="BU93" s="80"/>
      <c r="BV93" s="80"/>
      <c r="BW93" s="80"/>
      <c r="BX93" s="80"/>
      <c r="BY93" s="80"/>
      <c r="BZ93" s="80"/>
      <c r="CA93" s="80"/>
      <c r="CB93" s="80"/>
      <c r="CC93" s="80"/>
      <c r="CD93" s="80"/>
      <c r="CE93" s="80"/>
      <c r="CF93" s="80"/>
      <c r="CG93" s="80"/>
      <c r="CH93" s="80"/>
      <c r="CI93" s="80"/>
      <c r="CJ93" s="80"/>
      <c r="CK93" s="80"/>
      <c r="CL93" s="80"/>
      <c r="CM93" s="80"/>
      <c r="CN93" s="80"/>
      <c r="CO93" s="80"/>
      <c r="CP93" s="80"/>
      <c r="CQ93" s="80"/>
      <c r="CR93" s="80"/>
      <c r="CS93" s="80"/>
      <c r="CT93" s="80"/>
      <c r="CU93" s="80"/>
      <c r="CV93" s="80"/>
      <c r="CW93" s="80"/>
      <c r="CX93" s="80"/>
      <c r="CY93" s="80"/>
      <c r="CZ93" s="80"/>
      <c r="DA93" s="80"/>
      <c r="DB93" s="80"/>
      <c r="DC93" s="80"/>
      <c r="DD93" s="80"/>
      <c r="DE93" s="80"/>
      <c r="DF93" s="80"/>
      <c r="DG93" s="80"/>
      <c r="DH93" s="80"/>
      <c r="DI93" s="80"/>
      <c r="DJ93" s="80"/>
      <c r="DK93" s="80"/>
      <c r="DL93" s="80"/>
      <c r="DM93" s="80"/>
      <c r="DN93" s="80"/>
      <c r="DO93" s="80"/>
      <c r="DP93" s="80"/>
      <c r="DQ93" s="80"/>
      <c r="DR93" s="80"/>
      <c r="DS93" s="80"/>
      <c r="DT93" s="80"/>
      <c r="DU93" s="80"/>
      <c r="DV93" s="80"/>
      <c r="DW93" s="80"/>
      <c r="DX93" s="80"/>
      <c r="DY93" s="80"/>
      <c r="DZ93" s="80"/>
      <c r="EA93" s="80"/>
      <c r="EB93" s="80"/>
      <c r="EC93" s="80"/>
      <c r="ED93" s="80"/>
      <c r="EE93" s="80"/>
      <c r="EF93" s="80"/>
      <c r="EG93" s="80"/>
      <c r="EH93" s="80"/>
      <c r="EI93" s="80"/>
      <c r="EJ93" s="80"/>
      <c r="EK93" s="80"/>
      <c r="EL93" s="80"/>
      <c r="EM93" s="80"/>
      <c r="EN93" s="80"/>
      <c r="EO93" s="80"/>
      <c r="EP93" s="80"/>
      <c r="EQ93" s="80"/>
      <c r="ER93" s="80"/>
      <c r="ES93" s="80"/>
      <c r="ET93" s="80"/>
      <c r="EU93" s="80"/>
      <c r="EV93" s="80"/>
      <c r="EW93" s="80"/>
      <c r="EX93" s="80"/>
      <c r="EY93" s="80"/>
      <c r="EZ93" s="80"/>
      <c r="FA93" s="80"/>
      <c r="FB93" s="80"/>
      <c r="FC93" s="80"/>
      <c r="FD93" s="80"/>
      <c r="FE93" s="80"/>
      <c r="FF93" s="80"/>
      <c r="FG93" s="80"/>
      <c r="FH93" s="80"/>
      <c r="FI93" s="80"/>
      <c r="FJ93" s="80"/>
      <c r="FK93" s="80"/>
      <c r="FL93" s="80"/>
      <c r="FM93" s="80"/>
      <c r="FN93" s="80"/>
      <c r="FO93" s="80"/>
      <c r="FP93" s="80"/>
      <c r="FQ93" s="80"/>
      <c r="FR93" s="80"/>
      <c r="FS93" s="80"/>
      <c r="FT93" s="80"/>
      <c r="FU93" s="80"/>
      <c r="FV93" s="80"/>
      <c r="FW93" s="80"/>
      <c r="FX93" s="80"/>
      <c r="FY93" s="80"/>
      <c r="FZ93" s="80"/>
    </row>
    <row r="94" spans="8:182" ht="18" customHeight="1"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80"/>
      <c r="AP94" s="80"/>
      <c r="AQ94" s="80"/>
      <c r="AR94" s="80"/>
      <c r="AS94" s="80"/>
      <c r="AT94" s="80"/>
      <c r="AU94" s="80"/>
      <c r="AV94" s="80"/>
      <c r="AW94" s="80"/>
      <c r="AX94" s="80"/>
      <c r="AY94" s="80"/>
      <c r="AZ94" s="80"/>
      <c r="BA94" s="80"/>
      <c r="BB94" s="80"/>
      <c r="BC94" s="80"/>
      <c r="BD94" s="80"/>
      <c r="BE94" s="80"/>
      <c r="BF94" s="80"/>
      <c r="BG94" s="80"/>
      <c r="BH94" s="80"/>
      <c r="BI94" s="80"/>
      <c r="BJ94" s="80"/>
      <c r="BK94" s="80"/>
      <c r="BL94" s="80"/>
      <c r="BM94" s="80"/>
      <c r="BN94" s="80"/>
      <c r="BO94" s="80"/>
      <c r="BP94" s="80"/>
      <c r="BQ94" s="80"/>
      <c r="BR94" s="80"/>
      <c r="BS94" s="80"/>
      <c r="BT94" s="80"/>
      <c r="BU94" s="80"/>
      <c r="BV94" s="80"/>
      <c r="BW94" s="80"/>
      <c r="BX94" s="80"/>
      <c r="BY94" s="80"/>
      <c r="BZ94" s="80"/>
      <c r="CA94" s="80"/>
      <c r="CB94" s="80"/>
      <c r="CC94" s="80"/>
      <c r="CD94" s="80"/>
      <c r="CE94" s="80"/>
      <c r="CF94" s="80"/>
      <c r="CG94" s="80"/>
      <c r="CH94" s="80"/>
      <c r="CI94" s="80"/>
      <c r="CJ94" s="80"/>
      <c r="CK94" s="80"/>
      <c r="CL94" s="80"/>
      <c r="CM94" s="80"/>
      <c r="CN94" s="80"/>
      <c r="CO94" s="80"/>
      <c r="CP94" s="80"/>
      <c r="CQ94" s="80"/>
      <c r="CR94" s="80"/>
      <c r="CS94" s="80"/>
      <c r="CT94" s="80"/>
      <c r="CU94" s="80"/>
      <c r="CV94" s="80"/>
      <c r="CW94" s="80"/>
      <c r="CX94" s="80"/>
      <c r="CY94" s="80"/>
      <c r="CZ94" s="80"/>
      <c r="DA94" s="80"/>
      <c r="DB94" s="80"/>
      <c r="DC94" s="80"/>
      <c r="DD94" s="80"/>
      <c r="DE94" s="80"/>
      <c r="DF94" s="80"/>
      <c r="DG94" s="80"/>
      <c r="DH94" s="80"/>
      <c r="DI94" s="80"/>
      <c r="DJ94" s="80"/>
      <c r="DK94" s="80"/>
      <c r="DL94" s="80"/>
      <c r="DM94" s="80"/>
      <c r="DN94" s="80"/>
      <c r="DO94" s="80"/>
      <c r="DP94" s="80"/>
      <c r="DQ94" s="80"/>
      <c r="DR94" s="80"/>
      <c r="DS94" s="80"/>
      <c r="DT94" s="80"/>
      <c r="DU94" s="80"/>
      <c r="DV94" s="80"/>
      <c r="DW94" s="80"/>
      <c r="DX94" s="80"/>
      <c r="DY94" s="80"/>
      <c r="DZ94" s="80"/>
      <c r="EA94" s="80"/>
      <c r="EB94" s="80"/>
      <c r="EC94" s="80"/>
      <c r="ED94" s="80"/>
      <c r="EE94" s="80"/>
      <c r="EF94" s="80"/>
      <c r="EG94" s="80"/>
      <c r="EH94" s="80"/>
      <c r="EI94" s="80"/>
      <c r="EJ94" s="80"/>
      <c r="EK94" s="80"/>
      <c r="EL94" s="80"/>
      <c r="EM94" s="80"/>
      <c r="EN94" s="80"/>
      <c r="EO94" s="80"/>
      <c r="EP94" s="80"/>
      <c r="EQ94" s="80"/>
      <c r="ER94" s="80"/>
      <c r="ES94" s="80"/>
      <c r="ET94" s="80"/>
      <c r="EU94" s="80"/>
      <c r="EV94" s="80"/>
      <c r="EW94" s="80"/>
      <c r="EX94" s="80"/>
      <c r="EY94" s="80"/>
      <c r="EZ94" s="80"/>
      <c r="FA94" s="80"/>
      <c r="FB94" s="80"/>
      <c r="FC94" s="80"/>
      <c r="FD94" s="80"/>
      <c r="FE94" s="80"/>
      <c r="FF94" s="80"/>
      <c r="FG94" s="80"/>
      <c r="FH94" s="80"/>
      <c r="FI94" s="80"/>
      <c r="FJ94" s="80"/>
      <c r="FK94" s="80"/>
      <c r="FL94" s="80"/>
      <c r="FM94" s="80"/>
      <c r="FN94" s="80"/>
      <c r="FO94" s="80"/>
      <c r="FP94" s="80"/>
      <c r="FQ94" s="80"/>
      <c r="FR94" s="80"/>
      <c r="FS94" s="80"/>
      <c r="FT94" s="80"/>
      <c r="FU94" s="80"/>
      <c r="FV94" s="80"/>
      <c r="FW94" s="80"/>
      <c r="FX94" s="80"/>
      <c r="FY94" s="80"/>
      <c r="FZ94" s="80"/>
    </row>
    <row r="95" spans="8:182" ht="18" customHeight="1"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/>
      <c r="AL95" s="80"/>
      <c r="AM95" s="80"/>
      <c r="AN95" s="80"/>
      <c r="AO95" s="80"/>
      <c r="AP95" s="80"/>
      <c r="AQ95" s="80"/>
      <c r="AR95" s="80"/>
      <c r="AS95" s="80"/>
      <c r="AT95" s="80"/>
      <c r="AU95" s="80"/>
      <c r="AV95" s="80"/>
      <c r="AW95" s="80"/>
      <c r="AX95" s="80"/>
      <c r="AY95" s="80"/>
      <c r="AZ95" s="80"/>
      <c r="BA95" s="80"/>
      <c r="BB95" s="80"/>
      <c r="BC95" s="80"/>
      <c r="BD95" s="80"/>
      <c r="BE95" s="80"/>
      <c r="BF95" s="80"/>
      <c r="BG95" s="80"/>
      <c r="BH95" s="80"/>
      <c r="BI95" s="80"/>
      <c r="BJ95" s="80"/>
      <c r="BK95" s="80"/>
      <c r="BL95" s="80"/>
      <c r="BM95" s="80"/>
      <c r="BN95" s="80"/>
      <c r="BO95" s="80"/>
      <c r="BP95" s="80"/>
      <c r="BQ95" s="80"/>
      <c r="BR95" s="80"/>
      <c r="BS95" s="80"/>
      <c r="BT95" s="80"/>
      <c r="BU95" s="80"/>
      <c r="BV95" s="80"/>
      <c r="BW95" s="80"/>
      <c r="BX95" s="80"/>
      <c r="BY95" s="80"/>
      <c r="BZ95" s="80"/>
      <c r="CA95" s="80"/>
      <c r="CB95" s="80"/>
      <c r="CC95" s="80"/>
      <c r="CD95" s="80"/>
      <c r="CE95" s="80"/>
      <c r="CF95" s="80"/>
      <c r="CG95" s="80"/>
      <c r="CH95" s="80"/>
      <c r="CI95" s="80"/>
      <c r="CJ95" s="80"/>
      <c r="CK95" s="80"/>
      <c r="CL95" s="80"/>
      <c r="CM95" s="80"/>
      <c r="CN95" s="80"/>
      <c r="CO95" s="80"/>
      <c r="CP95" s="80"/>
      <c r="CQ95" s="80"/>
      <c r="CR95" s="80"/>
      <c r="CS95" s="80"/>
      <c r="CT95" s="80"/>
      <c r="CU95" s="80"/>
      <c r="CV95" s="80"/>
      <c r="CW95" s="80"/>
      <c r="CX95" s="80"/>
      <c r="CY95" s="80"/>
      <c r="CZ95" s="80"/>
      <c r="DA95" s="80"/>
      <c r="DB95" s="80"/>
      <c r="DC95" s="80"/>
      <c r="DD95" s="80"/>
      <c r="DE95" s="80"/>
      <c r="DF95" s="80"/>
      <c r="DG95" s="80"/>
      <c r="DH95" s="80"/>
      <c r="DI95" s="80"/>
      <c r="DJ95" s="80"/>
      <c r="DK95" s="80"/>
      <c r="DL95" s="80"/>
      <c r="DM95" s="80"/>
      <c r="DN95" s="80"/>
      <c r="DO95" s="80"/>
      <c r="DP95" s="80"/>
      <c r="DQ95" s="80"/>
      <c r="DR95" s="80"/>
      <c r="DS95" s="80"/>
      <c r="DT95" s="80"/>
      <c r="DU95" s="80"/>
      <c r="DV95" s="80"/>
      <c r="DW95" s="80"/>
      <c r="DX95" s="80"/>
      <c r="DY95" s="80"/>
      <c r="DZ95" s="80"/>
      <c r="EA95" s="80"/>
      <c r="EB95" s="80"/>
      <c r="EC95" s="80"/>
      <c r="ED95" s="80"/>
      <c r="EE95" s="80"/>
      <c r="EF95" s="80"/>
      <c r="EG95" s="80"/>
      <c r="EH95" s="80"/>
      <c r="EI95" s="80"/>
      <c r="EJ95" s="80"/>
      <c r="EK95" s="80"/>
      <c r="EL95" s="80"/>
      <c r="EM95" s="80"/>
      <c r="EN95" s="80"/>
      <c r="EO95" s="80"/>
      <c r="EP95" s="80"/>
      <c r="EQ95" s="80"/>
      <c r="ER95" s="80"/>
      <c r="ES95" s="80"/>
      <c r="ET95" s="80"/>
      <c r="EU95" s="80"/>
      <c r="EV95" s="80"/>
      <c r="EW95" s="80"/>
      <c r="EX95" s="80"/>
      <c r="EY95" s="80"/>
      <c r="EZ95" s="80"/>
      <c r="FA95" s="80"/>
      <c r="FB95" s="80"/>
      <c r="FC95" s="80"/>
      <c r="FD95" s="80"/>
      <c r="FE95" s="80"/>
      <c r="FF95" s="80"/>
      <c r="FG95" s="80"/>
      <c r="FH95" s="80"/>
      <c r="FI95" s="80"/>
      <c r="FJ95" s="80"/>
      <c r="FK95" s="80"/>
      <c r="FL95" s="80"/>
      <c r="FM95" s="80"/>
      <c r="FN95" s="80"/>
      <c r="FO95" s="80"/>
      <c r="FP95" s="80"/>
      <c r="FQ95" s="80"/>
      <c r="FR95" s="80"/>
      <c r="FS95" s="80"/>
      <c r="FT95" s="80"/>
      <c r="FU95" s="80"/>
      <c r="FV95" s="80"/>
      <c r="FW95" s="80"/>
      <c r="FX95" s="80"/>
      <c r="FY95" s="80"/>
      <c r="FZ95" s="80"/>
    </row>
    <row r="96" spans="8:182" ht="18" customHeight="1"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/>
      <c r="AK96" s="80"/>
      <c r="AL96" s="80"/>
      <c r="AM96" s="80"/>
      <c r="AN96" s="80"/>
      <c r="AO96" s="80"/>
      <c r="AP96" s="80"/>
      <c r="AQ96" s="80"/>
      <c r="AR96" s="80"/>
      <c r="AS96" s="80"/>
      <c r="AT96" s="80"/>
      <c r="AU96" s="80"/>
      <c r="AV96" s="80"/>
      <c r="AW96" s="80"/>
      <c r="AX96" s="80"/>
      <c r="AY96" s="80"/>
      <c r="AZ96" s="80"/>
      <c r="BA96" s="80"/>
      <c r="BB96" s="80"/>
      <c r="BC96" s="80"/>
      <c r="BD96" s="80"/>
      <c r="BE96" s="80"/>
      <c r="BF96" s="80"/>
      <c r="BG96" s="80"/>
      <c r="BH96" s="80"/>
      <c r="BI96" s="80"/>
      <c r="BJ96" s="80"/>
      <c r="BK96" s="80"/>
      <c r="BL96" s="80"/>
      <c r="BM96" s="80"/>
      <c r="BN96" s="80"/>
      <c r="BO96" s="80"/>
      <c r="BP96" s="80"/>
      <c r="BQ96" s="80"/>
      <c r="BR96" s="80"/>
      <c r="BS96" s="80"/>
      <c r="BT96" s="80"/>
      <c r="BU96" s="80"/>
      <c r="BV96" s="80"/>
      <c r="BW96" s="80"/>
      <c r="BX96" s="80"/>
      <c r="BY96" s="80"/>
      <c r="BZ96" s="80"/>
      <c r="CA96" s="80"/>
      <c r="CB96" s="80"/>
      <c r="CC96" s="80"/>
      <c r="CD96" s="80"/>
      <c r="CE96" s="80"/>
      <c r="CF96" s="80"/>
      <c r="CG96" s="80"/>
      <c r="CH96" s="80"/>
      <c r="CI96" s="80"/>
      <c r="CJ96" s="80"/>
      <c r="CK96" s="80"/>
      <c r="CL96" s="80"/>
      <c r="CM96" s="80"/>
      <c r="CN96" s="80"/>
      <c r="CO96" s="80"/>
      <c r="CP96" s="80"/>
      <c r="CQ96" s="80"/>
      <c r="CR96" s="80"/>
      <c r="CS96" s="80"/>
      <c r="CT96" s="80"/>
      <c r="CU96" s="80"/>
      <c r="CV96" s="80"/>
      <c r="CW96" s="80"/>
      <c r="CX96" s="80"/>
      <c r="CY96" s="80"/>
      <c r="CZ96" s="80"/>
      <c r="DA96" s="80"/>
      <c r="DB96" s="80"/>
      <c r="DC96" s="80"/>
      <c r="DD96" s="80"/>
      <c r="DE96" s="80"/>
      <c r="DF96" s="80"/>
      <c r="DG96" s="80"/>
      <c r="DH96" s="80"/>
      <c r="DI96" s="80"/>
      <c r="DJ96" s="80"/>
      <c r="DK96" s="80"/>
      <c r="DL96" s="80"/>
      <c r="DM96" s="80"/>
      <c r="DN96" s="80"/>
      <c r="DO96" s="80"/>
      <c r="DP96" s="80"/>
      <c r="DQ96" s="80"/>
      <c r="DR96" s="80"/>
      <c r="DS96" s="80"/>
      <c r="DT96" s="80"/>
      <c r="DU96" s="80"/>
      <c r="DV96" s="80"/>
      <c r="DW96" s="80"/>
      <c r="DX96" s="80"/>
      <c r="DY96" s="80"/>
      <c r="DZ96" s="80"/>
      <c r="EA96" s="80"/>
      <c r="EB96" s="80"/>
      <c r="EC96" s="80"/>
      <c r="ED96" s="80"/>
      <c r="EE96" s="80"/>
      <c r="EF96" s="80"/>
      <c r="EG96" s="80"/>
      <c r="EH96" s="80"/>
      <c r="EI96" s="80"/>
      <c r="EJ96" s="80"/>
      <c r="EK96" s="80"/>
      <c r="EL96" s="80"/>
      <c r="EM96" s="80"/>
      <c r="EN96" s="80"/>
      <c r="EO96" s="80"/>
      <c r="EP96" s="80"/>
      <c r="EQ96" s="80"/>
      <c r="ER96" s="80"/>
      <c r="ES96" s="80"/>
      <c r="ET96" s="80"/>
      <c r="EU96" s="80"/>
      <c r="EV96" s="80"/>
      <c r="EW96" s="80"/>
      <c r="EX96" s="80"/>
      <c r="EY96" s="80"/>
      <c r="EZ96" s="80"/>
      <c r="FA96" s="80"/>
      <c r="FB96" s="80"/>
      <c r="FC96" s="80"/>
      <c r="FD96" s="80"/>
      <c r="FE96" s="80"/>
      <c r="FF96" s="80"/>
      <c r="FG96" s="80"/>
      <c r="FH96" s="80"/>
      <c r="FI96" s="80"/>
      <c r="FJ96" s="80"/>
      <c r="FK96" s="80"/>
      <c r="FL96" s="80"/>
      <c r="FM96" s="80"/>
      <c r="FN96" s="80"/>
      <c r="FO96" s="80"/>
      <c r="FP96" s="80"/>
      <c r="FQ96" s="80"/>
      <c r="FR96" s="80"/>
      <c r="FS96" s="80"/>
      <c r="FT96" s="80"/>
      <c r="FU96" s="80"/>
      <c r="FV96" s="80"/>
      <c r="FW96" s="80"/>
      <c r="FX96" s="80"/>
      <c r="FY96" s="80"/>
      <c r="FZ96" s="80"/>
    </row>
    <row r="97" spans="8:182" ht="18" customHeight="1"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/>
      <c r="AK97" s="80"/>
      <c r="AL97" s="80"/>
      <c r="AM97" s="80"/>
      <c r="AN97" s="80"/>
      <c r="AO97" s="80"/>
      <c r="AP97" s="80"/>
      <c r="AQ97" s="80"/>
      <c r="AR97" s="80"/>
      <c r="AS97" s="80"/>
      <c r="AT97" s="80"/>
      <c r="AU97" s="80"/>
      <c r="AV97" s="80"/>
      <c r="AW97" s="80"/>
      <c r="AX97" s="80"/>
      <c r="AY97" s="80"/>
      <c r="AZ97" s="80"/>
      <c r="BA97" s="80"/>
      <c r="BB97" s="80"/>
      <c r="BC97" s="80"/>
      <c r="BD97" s="80"/>
      <c r="BE97" s="80"/>
      <c r="BF97" s="80"/>
      <c r="BG97" s="80"/>
      <c r="BH97" s="80"/>
      <c r="BI97" s="80"/>
      <c r="BJ97" s="80"/>
      <c r="BK97" s="80"/>
      <c r="BL97" s="80"/>
      <c r="BM97" s="80"/>
      <c r="BN97" s="80"/>
      <c r="BO97" s="80"/>
      <c r="BP97" s="80"/>
      <c r="BQ97" s="80"/>
      <c r="BR97" s="80"/>
      <c r="BS97" s="80"/>
      <c r="BT97" s="80"/>
      <c r="BU97" s="80"/>
      <c r="BV97" s="80"/>
      <c r="BW97" s="80"/>
      <c r="BX97" s="80"/>
      <c r="BY97" s="80"/>
      <c r="BZ97" s="80"/>
      <c r="CA97" s="80"/>
      <c r="CB97" s="80"/>
      <c r="CC97" s="80"/>
      <c r="CD97" s="80"/>
      <c r="CE97" s="80"/>
      <c r="CF97" s="80"/>
      <c r="CG97" s="80"/>
      <c r="CH97" s="80"/>
      <c r="CI97" s="80"/>
      <c r="CJ97" s="80"/>
      <c r="CK97" s="80"/>
      <c r="CL97" s="80"/>
      <c r="CM97" s="80"/>
      <c r="CN97" s="80"/>
      <c r="CO97" s="80"/>
      <c r="CP97" s="80"/>
      <c r="CQ97" s="80"/>
      <c r="CR97" s="80"/>
      <c r="CS97" s="80"/>
      <c r="CT97" s="80"/>
      <c r="CU97" s="80"/>
      <c r="CV97" s="80"/>
      <c r="CW97" s="80"/>
      <c r="CX97" s="80"/>
      <c r="CY97" s="80"/>
      <c r="CZ97" s="80"/>
      <c r="DA97" s="80"/>
      <c r="DB97" s="80"/>
      <c r="DC97" s="80"/>
      <c r="DD97" s="80"/>
      <c r="DE97" s="80"/>
      <c r="DF97" s="80"/>
      <c r="DG97" s="80"/>
      <c r="DH97" s="80"/>
      <c r="DI97" s="80"/>
      <c r="DJ97" s="80"/>
      <c r="DK97" s="80"/>
      <c r="DL97" s="80"/>
      <c r="DM97" s="80"/>
      <c r="DN97" s="80"/>
      <c r="DO97" s="80"/>
      <c r="DP97" s="80"/>
      <c r="DQ97" s="80"/>
      <c r="DR97" s="80"/>
      <c r="DS97" s="80"/>
      <c r="DT97" s="80"/>
      <c r="DU97" s="80"/>
      <c r="DV97" s="80"/>
      <c r="DW97" s="80"/>
      <c r="DX97" s="80"/>
      <c r="DY97" s="80"/>
      <c r="DZ97" s="80"/>
      <c r="EA97" s="80"/>
      <c r="EB97" s="80"/>
      <c r="EC97" s="80"/>
      <c r="ED97" s="80"/>
      <c r="EE97" s="80"/>
      <c r="EF97" s="80"/>
      <c r="EG97" s="80"/>
      <c r="EH97" s="80"/>
      <c r="EI97" s="80"/>
      <c r="EJ97" s="80"/>
      <c r="EK97" s="80"/>
      <c r="EL97" s="80"/>
      <c r="EM97" s="80"/>
      <c r="EN97" s="80"/>
      <c r="EO97" s="80"/>
      <c r="EP97" s="80"/>
      <c r="EQ97" s="80"/>
      <c r="ER97" s="80"/>
      <c r="ES97" s="80"/>
      <c r="ET97" s="80"/>
      <c r="EU97" s="80"/>
      <c r="EV97" s="80"/>
      <c r="EW97" s="80"/>
      <c r="EX97" s="80"/>
      <c r="EY97" s="80"/>
      <c r="EZ97" s="80"/>
      <c r="FA97" s="80"/>
      <c r="FB97" s="80"/>
      <c r="FC97" s="80"/>
      <c r="FD97" s="80"/>
      <c r="FE97" s="80"/>
      <c r="FF97" s="80"/>
      <c r="FG97" s="80"/>
      <c r="FH97" s="80"/>
      <c r="FI97" s="80"/>
      <c r="FJ97" s="80"/>
      <c r="FK97" s="80"/>
      <c r="FL97" s="80"/>
      <c r="FM97" s="80"/>
      <c r="FN97" s="80"/>
      <c r="FO97" s="80"/>
      <c r="FP97" s="80"/>
      <c r="FQ97" s="80"/>
      <c r="FR97" s="80"/>
      <c r="FS97" s="80"/>
      <c r="FT97" s="80"/>
      <c r="FU97" s="80"/>
      <c r="FV97" s="80"/>
      <c r="FW97" s="80"/>
      <c r="FX97" s="80"/>
      <c r="FY97" s="80"/>
      <c r="FZ97" s="80"/>
    </row>
    <row r="98" spans="8:182" ht="18" customHeight="1"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/>
      <c r="AK98" s="80"/>
      <c r="AL98" s="80"/>
      <c r="AM98" s="80"/>
      <c r="AN98" s="80"/>
      <c r="AO98" s="80"/>
      <c r="AP98" s="80"/>
      <c r="AQ98" s="80"/>
      <c r="AR98" s="80"/>
      <c r="AS98" s="80"/>
      <c r="AT98" s="80"/>
      <c r="AU98" s="80"/>
      <c r="AV98" s="80"/>
      <c r="AW98" s="80"/>
      <c r="AX98" s="80"/>
      <c r="AY98" s="80"/>
      <c r="AZ98" s="80"/>
      <c r="BA98" s="80"/>
      <c r="BB98" s="80"/>
      <c r="BC98" s="80"/>
      <c r="BD98" s="80"/>
      <c r="BE98" s="80"/>
      <c r="BF98" s="80"/>
      <c r="BG98" s="80"/>
      <c r="BH98" s="80"/>
      <c r="BI98" s="80"/>
      <c r="BJ98" s="80"/>
      <c r="BK98" s="80"/>
      <c r="BL98" s="80"/>
      <c r="BM98" s="80"/>
      <c r="BN98" s="80"/>
      <c r="BO98" s="80"/>
      <c r="BP98" s="80"/>
      <c r="BQ98" s="80"/>
      <c r="BR98" s="80"/>
      <c r="BS98" s="80"/>
      <c r="BT98" s="80"/>
      <c r="BU98" s="80"/>
      <c r="BV98" s="80"/>
      <c r="BW98" s="80"/>
      <c r="BX98" s="80"/>
      <c r="BY98" s="80"/>
      <c r="BZ98" s="80"/>
      <c r="CA98" s="80"/>
      <c r="CB98" s="80"/>
      <c r="CC98" s="80"/>
      <c r="CD98" s="80"/>
      <c r="CE98" s="80"/>
      <c r="CF98" s="80"/>
      <c r="CG98" s="80"/>
      <c r="CH98" s="80"/>
      <c r="CI98" s="80"/>
      <c r="CJ98" s="80"/>
      <c r="CK98" s="80"/>
      <c r="CL98" s="80"/>
      <c r="CM98" s="80"/>
      <c r="CN98" s="80"/>
      <c r="CO98" s="80"/>
      <c r="CP98" s="80"/>
      <c r="CQ98" s="80"/>
      <c r="CR98" s="80"/>
      <c r="CS98" s="80"/>
      <c r="CT98" s="80"/>
      <c r="CU98" s="80"/>
      <c r="CV98" s="80"/>
      <c r="CW98" s="80"/>
      <c r="CX98" s="80"/>
      <c r="CY98" s="80"/>
      <c r="CZ98" s="80"/>
      <c r="DA98" s="80"/>
      <c r="DB98" s="80"/>
      <c r="DC98" s="80"/>
      <c r="DD98" s="80"/>
      <c r="DE98" s="80"/>
      <c r="DF98" s="80"/>
      <c r="DG98" s="80"/>
      <c r="DH98" s="80"/>
      <c r="DI98" s="80"/>
      <c r="DJ98" s="80"/>
      <c r="DK98" s="80"/>
      <c r="DL98" s="80"/>
      <c r="DM98" s="80"/>
      <c r="DN98" s="80"/>
      <c r="DO98" s="80"/>
      <c r="DP98" s="80"/>
      <c r="DQ98" s="80"/>
      <c r="DR98" s="80"/>
      <c r="DS98" s="80"/>
      <c r="DT98" s="80"/>
      <c r="DU98" s="80"/>
      <c r="DV98" s="80"/>
      <c r="DW98" s="80"/>
      <c r="DX98" s="80"/>
      <c r="DY98" s="80"/>
      <c r="DZ98" s="80"/>
      <c r="EA98" s="80"/>
      <c r="EB98" s="80"/>
      <c r="EC98" s="80"/>
      <c r="ED98" s="80"/>
      <c r="EE98" s="80"/>
      <c r="EF98" s="80"/>
      <c r="EG98" s="80"/>
      <c r="EH98" s="80"/>
      <c r="EI98" s="80"/>
      <c r="EJ98" s="80"/>
      <c r="EK98" s="80"/>
      <c r="EL98" s="80"/>
      <c r="EM98" s="80"/>
      <c r="EN98" s="80"/>
      <c r="EO98" s="80"/>
      <c r="EP98" s="80"/>
      <c r="EQ98" s="80"/>
      <c r="ER98" s="80"/>
      <c r="ES98" s="80"/>
      <c r="ET98" s="80"/>
      <c r="EU98" s="80"/>
      <c r="EV98" s="80"/>
      <c r="EW98" s="80"/>
      <c r="EX98" s="80"/>
      <c r="EY98" s="80"/>
      <c r="EZ98" s="80"/>
      <c r="FA98" s="80"/>
      <c r="FB98" s="80"/>
      <c r="FC98" s="80"/>
      <c r="FD98" s="80"/>
      <c r="FE98" s="80"/>
      <c r="FF98" s="80"/>
      <c r="FG98" s="80"/>
      <c r="FH98" s="80"/>
      <c r="FI98" s="80"/>
      <c r="FJ98" s="80"/>
      <c r="FK98" s="80"/>
      <c r="FL98" s="80"/>
      <c r="FM98" s="80"/>
      <c r="FN98" s="80"/>
      <c r="FO98" s="80"/>
      <c r="FP98" s="80"/>
      <c r="FQ98" s="80"/>
      <c r="FR98" s="80"/>
      <c r="FS98" s="80"/>
      <c r="FT98" s="80"/>
      <c r="FU98" s="80"/>
      <c r="FV98" s="80"/>
      <c r="FW98" s="80"/>
      <c r="FX98" s="80"/>
      <c r="FY98" s="80"/>
      <c r="FZ98" s="80"/>
    </row>
    <row r="99" spans="8:182" ht="18" customHeight="1"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  <c r="AK99" s="80"/>
      <c r="AL99" s="80"/>
      <c r="AM99" s="80"/>
      <c r="AN99" s="80"/>
      <c r="AO99" s="80"/>
      <c r="AP99" s="80"/>
      <c r="AQ99" s="80"/>
      <c r="AR99" s="80"/>
      <c r="AS99" s="80"/>
      <c r="AT99" s="80"/>
      <c r="AU99" s="80"/>
      <c r="AV99" s="80"/>
      <c r="AW99" s="80"/>
      <c r="AX99" s="80"/>
      <c r="AY99" s="80"/>
      <c r="AZ99" s="80"/>
      <c r="BA99" s="80"/>
      <c r="BB99" s="80"/>
      <c r="BC99" s="80"/>
      <c r="BD99" s="80"/>
      <c r="BE99" s="80"/>
      <c r="BF99" s="80"/>
      <c r="BG99" s="80"/>
      <c r="BH99" s="80"/>
      <c r="BI99" s="80"/>
      <c r="BJ99" s="80"/>
      <c r="BK99" s="80"/>
      <c r="BL99" s="80"/>
      <c r="BM99" s="80"/>
      <c r="BN99" s="80"/>
      <c r="BO99" s="80"/>
      <c r="BP99" s="80"/>
      <c r="BQ99" s="80"/>
      <c r="BR99" s="80"/>
      <c r="BS99" s="80"/>
      <c r="BT99" s="80"/>
      <c r="BU99" s="80"/>
      <c r="BV99" s="80"/>
      <c r="BW99" s="80"/>
      <c r="BX99" s="80"/>
      <c r="BY99" s="80"/>
      <c r="BZ99" s="80"/>
      <c r="CA99" s="80"/>
      <c r="CB99" s="80"/>
      <c r="CC99" s="80"/>
      <c r="CD99" s="80"/>
      <c r="CE99" s="80"/>
      <c r="CF99" s="80"/>
      <c r="CG99" s="80"/>
      <c r="CH99" s="80"/>
      <c r="CI99" s="80"/>
      <c r="CJ99" s="80"/>
      <c r="CK99" s="80"/>
      <c r="CL99" s="80"/>
      <c r="CM99" s="80"/>
      <c r="CN99" s="80"/>
      <c r="CO99" s="80"/>
      <c r="CP99" s="80"/>
      <c r="CQ99" s="80"/>
      <c r="CR99" s="80"/>
      <c r="CS99" s="80"/>
      <c r="CT99" s="80"/>
      <c r="CU99" s="80"/>
      <c r="CV99" s="80"/>
      <c r="CW99" s="80"/>
      <c r="CX99" s="80"/>
      <c r="CY99" s="80"/>
      <c r="CZ99" s="80"/>
      <c r="DA99" s="80"/>
      <c r="DB99" s="80"/>
      <c r="DC99" s="80"/>
      <c r="DD99" s="80"/>
      <c r="DE99" s="80"/>
      <c r="DF99" s="80"/>
      <c r="DG99" s="80"/>
      <c r="DH99" s="80"/>
      <c r="DI99" s="80"/>
      <c r="DJ99" s="80"/>
      <c r="DK99" s="80"/>
      <c r="DL99" s="80"/>
      <c r="DM99" s="80"/>
      <c r="DN99" s="80"/>
      <c r="DO99" s="80"/>
      <c r="DP99" s="80"/>
      <c r="DQ99" s="80"/>
      <c r="DR99" s="80"/>
      <c r="DS99" s="80"/>
      <c r="DT99" s="80"/>
      <c r="DU99" s="80"/>
      <c r="DV99" s="80"/>
      <c r="DW99" s="80"/>
      <c r="DX99" s="80"/>
      <c r="DY99" s="80"/>
      <c r="DZ99" s="80"/>
      <c r="EA99" s="80"/>
      <c r="EB99" s="80"/>
      <c r="EC99" s="80"/>
      <c r="ED99" s="80"/>
      <c r="EE99" s="80"/>
      <c r="EF99" s="80"/>
      <c r="EG99" s="80"/>
      <c r="EH99" s="80"/>
      <c r="EI99" s="80"/>
      <c r="EJ99" s="80"/>
      <c r="EK99" s="80"/>
      <c r="EL99" s="80"/>
      <c r="EM99" s="80"/>
      <c r="EN99" s="80"/>
      <c r="EO99" s="80"/>
      <c r="EP99" s="80"/>
      <c r="EQ99" s="80"/>
      <c r="ER99" s="80"/>
      <c r="ES99" s="80"/>
      <c r="ET99" s="80"/>
      <c r="EU99" s="80"/>
      <c r="EV99" s="80"/>
      <c r="EW99" s="80"/>
      <c r="EX99" s="80"/>
      <c r="EY99" s="80"/>
      <c r="EZ99" s="80"/>
      <c r="FA99" s="80"/>
      <c r="FB99" s="80"/>
      <c r="FC99" s="80"/>
      <c r="FD99" s="80"/>
      <c r="FE99" s="80"/>
      <c r="FF99" s="80"/>
      <c r="FG99" s="80"/>
      <c r="FH99" s="80"/>
      <c r="FI99" s="80"/>
      <c r="FJ99" s="80"/>
      <c r="FK99" s="80"/>
      <c r="FL99" s="80"/>
      <c r="FM99" s="80"/>
      <c r="FN99" s="80"/>
      <c r="FO99" s="80"/>
      <c r="FP99" s="80"/>
      <c r="FQ99" s="80"/>
      <c r="FR99" s="80"/>
      <c r="FS99" s="80"/>
      <c r="FT99" s="80"/>
      <c r="FU99" s="80"/>
      <c r="FV99" s="80"/>
      <c r="FW99" s="80"/>
      <c r="FX99" s="80"/>
      <c r="FY99" s="80"/>
      <c r="FZ99" s="80"/>
    </row>
    <row r="100" spans="8:182" ht="18" customHeight="1"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  <c r="AK100" s="80"/>
      <c r="AL100" s="80"/>
      <c r="AM100" s="80"/>
      <c r="AN100" s="80"/>
      <c r="AO100" s="80"/>
      <c r="AP100" s="80"/>
      <c r="AQ100" s="80"/>
      <c r="AR100" s="80"/>
      <c r="AS100" s="80"/>
      <c r="AT100" s="80"/>
      <c r="AU100" s="80"/>
      <c r="AV100" s="80"/>
      <c r="AW100" s="80"/>
      <c r="AX100" s="80"/>
      <c r="AY100" s="80"/>
      <c r="AZ100" s="80"/>
      <c r="BA100" s="80"/>
      <c r="BB100" s="80"/>
      <c r="BC100" s="80"/>
      <c r="BD100" s="80"/>
      <c r="BE100" s="80"/>
      <c r="BF100" s="80"/>
      <c r="BG100" s="80"/>
      <c r="BH100" s="80"/>
      <c r="BI100" s="80"/>
      <c r="BJ100" s="80"/>
      <c r="BK100" s="80"/>
      <c r="BL100" s="80"/>
      <c r="BM100" s="80"/>
      <c r="BN100" s="80"/>
      <c r="BO100" s="80"/>
      <c r="BP100" s="80"/>
      <c r="BQ100" s="80"/>
      <c r="BR100" s="80"/>
      <c r="BS100" s="80"/>
      <c r="BT100" s="80"/>
      <c r="BU100" s="80"/>
      <c r="BV100" s="80"/>
      <c r="BW100" s="80"/>
      <c r="BX100" s="80"/>
      <c r="BY100" s="80"/>
      <c r="BZ100" s="80"/>
      <c r="CA100" s="80"/>
      <c r="CB100" s="80"/>
      <c r="CC100" s="80"/>
      <c r="CD100" s="80"/>
      <c r="CE100" s="80"/>
      <c r="CF100" s="80"/>
      <c r="CG100" s="80"/>
      <c r="CH100" s="80"/>
      <c r="CI100" s="80"/>
      <c r="CJ100" s="80"/>
      <c r="CK100" s="80"/>
      <c r="CL100" s="80"/>
      <c r="CM100" s="80"/>
      <c r="CN100" s="80"/>
      <c r="CO100" s="80"/>
      <c r="CP100" s="80"/>
      <c r="CQ100" s="80"/>
      <c r="CR100" s="80"/>
      <c r="CS100" s="80"/>
      <c r="CT100" s="80"/>
      <c r="CU100" s="80"/>
      <c r="CV100" s="80"/>
      <c r="CW100" s="80"/>
      <c r="CX100" s="80"/>
      <c r="CY100" s="80"/>
      <c r="CZ100" s="80"/>
      <c r="DA100" s="80"/>
      <c r="DB100" s="80"/>
      <c r="DC100" s="80"/>
      <c r="DD100" s="80"/>
      <c r="DE100" s="80"/>
      <c r="DF100" s="80"/>
      <c r="DG100" s="80"/>
      <c r="DH100" s="80"/>
      <c r="DI100" s="80"/>
      <c r="DJ100" s="80"/>
      <c r="DK100" s="80"/>
      <c r="DL100" s="80"/>
      <c r="DM100" s="80"/>
      <c r="DN100" s="80"/>
      <c r="DO100" s="80"/>
      <c r="DP100" s="80"/>
      <c r="DQ100" s="80"/>
      <c r="DR100" s="80"/>
      <c r="DS100" s="80"/>
      <c r="DT100" s="80"/>
      <c r="DU100" s="80"/>
      <c r="DV100" s="80"/>
      <c r="DW100" s="80"/>
      <c r="DX100" s="80"/>
      <c r="DY100" s="80"/>
      <c r="DZ100" s="80"/>
      <c r="EA100" s="80"/>
      <c r="EB100" s="80"/>
      <c r="EC100" s="80"/>
      <c r="ED100" s="80"/>
      <c r="EE100" s="80"/>
      <c r="EF100" s="80"/>
      <c r="EG100" s="80"/>
      <c r="EH100" s="80"/>
      <c r="EI100" s="80"/>
      <c r="EJ100" s="80"/>
      <c r="EK100" s="80"/>
      <c r="EL100" s="80"/>
      <c r="EM100" s="80"/>
      <c r="EN100" s="80"/>
      <c r="EO100" s="80"/>
      <c r="EP100" s="80"/>
      <c r="EQ100" s="80"/>
      <c r="ER100" s="80"/>
      <c r="ES100" s="80"/>
      <c r="ET100" s="80"/>
      <c r="EU100" s="80"/>
      <c r="EV100" s="80"/>
      <c r="EW100" s="80"/>
      <c r="EX100" s="80"/>
      <c r="EY100" s="80"/>
      <c r="EZ100" s="80"/>
      <c r="FA100" s="80"/>
      <c r="FB100" s="80"/>
      <c r="FC100" s="80"/>
      <c r="FD100" s="80"/>
      <c r="FE100" s="80"/>
      <c r="FF100" s="80"/>
      <c r="FG100" s="80"/>
      <c r="FH100" s="80"/>
      <c r="FI100" s="80"/>
      <c r="FJ100" s="80"/>
      <c r="FK100" s="80"/>
      <c r="FL100" s="80"/>
      <c r="FM100" s="80"/>
      <c r="FN100" s="80"/>
      <c r="FO100" s="80"/>
      <c r="FP100" s="80"/>
      <c r="FQ100" s="80"/>
      <c r="FR100" s="80"/>
      <c r="FS100" s="80"/>
      <c r="FT100" s="80"/>
      <c r="FU100" s="80"/>
      <c r="FV100" s="80"/>
      <c r="FW100" s="80"/>
      <c r="FX100" s="80"/>
      <c r="FY100" s="80"/>
      <c r="FZ100" s="80"/>
    </row>
    <row r="101" spans="8:182" ht="18" customHeight="1"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/>
      <c r="AK101" s="80"/>
      <c r="AL101" s="80"/>
      <c r="AM101" s="80"/>
      <c r="AN101" s="80"/>
      <c r="AO101" s="80"/>
      <c r="AP101" s="80"/>
      <c r="AQ101" s="80"/>
      <c r="AR101" s="80"/>
      <c r="AS101" s="80"/>
      <c r="AT101" s="80"/>
      <c r="AU101" s="80"/>
      <c r="AV101" s="80"/>
      <c r="AW101" s="80"/>
      <c r="AX101" s="80"/>
      <c r="AY101" s="80"/>
      <c r="AZ101" s="80"/>
      <c r="BA101" s="80"/>
      <c r="BB101" s="80"/>
      <c r="BC101" s="80"/>
      <c r="BD101" s="80"/>
      <c r="BE101" s="80"/>
      <c r="BF101" s="80"/>
      <c r="BG101" s="80"/>
      <c r="BH101" s="80"/>
      <c r="BI101" s="80"/>
      <c r="BJ101" s="80"/>
      <c r="BK101" s="80"/>
      <c r="BL101" s="80"/>
      <c r="BM101" s="80"/>
      <c r="BN101" s="80"/>
      <c r="BO101" s="80"/>
      <c r="BP101" s="80"/>
      <c r="BQ101" s="80"/>
      <c r="BR101" s="80"/>
      <c r="BS101" s="80"/>
      <c r="BT101" s="80"/>
      <c r="BU101" s="80"/>
      <c r="BV101" s="80"/>
      <c r="BW101" s="80"/>
      <c r="BX101" s="80"/>
      <c r="BY101" s="80"/>
      <c r="BZ101" s="80"/>
      <c r="CA101" s="80"/>
      <c r="CB101" s="80"/>
      <c r="CC101" s="80"/>
      <c r="CD101" s="80"/>
      <c r="CE101" s="80"/>
      <c r="CF101" s="80"/>
      <c r="CG101" s="80"/>
      <c r="CH101" s="80"/>
      <c r="CI101" s="80"/>
      <c r="CJ101" s="80"/>
      <c r="CK101" s="80"/>
      <c r="CL101" s="80"/>
      <c r="CM101" s="80"/>
      <c r="CN101" s="80"/>
      <c r="CO101" s="80"/>
      <c r="CP101" s="80"/>
      <c r="CQ101" s="80"/>
      <c r="CR101" s="80"/>
      <c r="CS101" s="80"/>
      <c r="CT101" s="80"/>
      <c r="CU101" s="80"/>
      <c r="CV101" s="80"/>
      <c r="CW101" s="80"/>
      <c r="CX101" s="80"/>
      <c r="CY101" s="80"/>
      <c r="CZ101" s="80"/>
      <c r="DA101" s="80"/>
      <c r="DB101" s="80"/>
      <c r="DC101" s="80"/>
      <c r="DD101" s="80"/>
      <c r="DE101" s="80"/>
      <c r="DF101" s="80"/>
      <c r="DG101" s="80"/>
      <c r="DH101" s="80"/>
      <c r="DI101" s="80"/>
      <c r="DJ101" s="80"/>
      <c r="DK101" s="80"/>
      <c r="DL101" s="80"/>
      <c r="DM101" s="80"/>
      <c r="DN101" s="80"/>
      <c r="DO101" s="80"/>
      <c r="DP101" s="80"/>
      <c r="DQ101" s="80"/>
      <c r="DR101" s="80"/>
      <c r="DS101" s="80"/>
      <c r="DT101" s="80"/>
      <c r="DU101" s="80"/>
      <c r="DV101" s="80"/>
      <c r="DW101" s="80"/>
      <c r="DX101" s="80"/>
      <c r="DY101" s="80"/>
      <c r="DZ101" s="80"/>
      <c r="EA101" s="80"/>
      <c r="EB101" s="80"/>
      <c r="EC101" s="80"/>
      <c r="ED101" s="80"/>
      <c r="EE101" s="80"/>
      <c r="EF101" s="80"/>
      <c r="EG101" s="80"/>
      <c r="EH101" s="80"/>
      <c r="EI101" s="80"/>
      <c r="EJ101" s="80"/>
      <c r="EK101" s="80"/>
      <c r="EL101" s="80"/>
      <c r="EM101" s="80"/>
      <c r="EN101" s="80"/>
      <c r="EO101" s="80"/>
      <c r="EP101" s="80"/>
      <c r="EQ101" s="80"/>
      <c r="ER101" s="80"/>
      <c r="ES101" s="80"/>
      <c r="ET101" s="80"/>
      <c r="EU101" s="80"/>
      <c r="EV101" s="80"/>
      <c r="EW101" s="80"/>
      <c r="EX101" s="80"/>
      <c r="EY101" s="80"/>
      <c r="EZ101" s="80"/>
      <c r="FA101" s="80"/>
      <c r="FB101" s="80"/>
      <c r="FC101" s="80"/>
      <c r="FD101" s="80"/>
      <c r="FE101" s="80"/>
      <c r="FF101" s="80"/>
      <c r="FG101" s="80"/>
      <c r="FH101" s="80"/>
      <c r="FI101" s="80"/>
      <c r="FJ101" s="80"/>
      <c r="FK101" s="80"/>
      <c r="FL101" s="80"/>
      <c r="FM101" s="80"/>
      <c r="FN101" s="80"/>
      <c r="FO101" s="80"/>
      <c r="FP101" s="80"/>
      <c r="FQ101" s="80"/>
      <c r="FR101" s="80"/>
      <c r="FS101" s="80"/>
      <c r="FT101" s="80"/>
      <c r="FU101" s="80"/>
      <c r="FV101" s="80"/>
      <c r="FW101" s="80"/>
      <c r="FX101" s="80"/>
      <c r="FY101" s="80"/>
      <c r="FZ101" s="80"/>
    </row>
    <row r="102" spans="8:182" ht="18" customHeight="1"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/>
      <c r="AP102" s="80"/>
      <c r="AQ102" s="80"/>
      <c r="AR102" s="80"/>
      <c r="AS102" s="80"/>
      <c r="AT102" s="80"/>
      <c r="AU102" s="80"/>
      <c r="AV102" s="80"/>
      <c r="AW102" s="80"/>
      <c r="AX102" s="80"/>
      <c r="AY102" s="80"/>
      <c r="AZ102" s="80"/>
      <c r="BA102" s="80"/>
      <c r="BB102" s="80"/>
      <c r="BC102" s="80"/>
      <c r="BD102" s="80"/>
      <c r="BE102" s="80"/>
      <c r="BF102" s="80"/>
      <c r="BG102" s="80"/>
      <c r="BH102" s="80"/>
      <c r="BI102" s="80"/>
      <c r="BJ102" s="80"/>
      <c r="BK102" s="80"/>
      <c r="BL102" s="80"/>
      <c r="BM102" s="80"/>
      <c r="BN102" s="80"/>
      <c r="BO102" s="80"/>
      <c r="BP102" s="80"/>
      <c r="BQ102" s="80"/>
      <c r="BR102" s="80"/>
      <c r="BS102" s="80"/>
      <c r="BT102" s="80"/>
      <c r="BU102" s="80"/>
      <c r="BV102" s="80"/>
      <c r="BW102" s="80"/>
      <c r="BX102" s="80"/>
      <c r="BY102" s="80"/>
      <c r="BZ102" s="80"/>
      <c r="CA102" s="80"/>
      <c r="CB102" s="80"/>
      <c r="CC102" s="80"/>
      <c r="CD102" s="80"/>
      <c r="CE102" s="80"/>
      <c r="CF102" s="80"/>
      <c r="CG102" s="80"/>
      <c r="CH102" s="80"/>
      <c r="CI102" s="80"/>
      <c r="CJ102" s="80"/>
      <c r="CK102" s="80"/>
      <c r="CL102" s="80"/>
      <c r="CM102" s="80"/>
      <c r="CN102" s="80"/>
      <c r="CO102" s="80"/>
      <c r="CP102" s="80"/>
      <c r="CQ102" s="80"/>
      <c r="CR102" s="80"/>
      <c r="CS102" s="80"/>
      <c r="CT102" s="80"/>
      <c r="CU102" s="80"/>
      <c r="CV102" s="80"/>
      <c r="CW102" s="80"/>
      <c r="CX102" s="80"/>
      <c r="CY102" s="80"/>
      <c r="CZ102" s="80"/>
      <c r="DA102" s="80"/>
      <c r="DB102" s="80"/>
      <c r="DC102" s="80"/>
      <c r="DD102" s="80"/>
      <c r="DE102" s="80"/>
      <c r="DF102" s="80"/>
      <c r="DG102" s="80"/>
      <c r="DH102" s="80"/>
      <c r="DI102" s="80"/>
      <c r="DJ102" s="80"/>
      <c r="DK102" s="80"/>
      <c r="DL102" s="80"/>
      <c r="DM102" s="80"/>
      <c r="DN102" s="80"/>
      <c r="DO102" s="80"/>
      <c r="DP102" s="80"/>
      <c r="DQ102" s="80"/>
      <c r="DR102" s="80"/>
      <c r="DS102" s="80"/>
      <c r="DT102" s="80"/>
      <c r="DU102" s="80"/>
      <c r="DV102" s="80"/>
      <c r="DW102" s="80"/>
      <c r="DX102" s="80"/>
      <c r="DY102" s="80"/>
      <c r="DZ102" s="80"/>
      <c r="EA102" s="80"/>
      <c r="EB102" s="80"/>
      <c r="EC102" s="80"/>
      <c r="ED102" s="80"/>
      <c r="EE102" s="80"/>
      <c r="EF102" s="80"/>
      <c r="EG102" s="80"/>
      <c r="EH102" s="80"/>
      <c r="EI102" s="80"/>
      <c r="EJ102" s="80"/>
      <c r="EK102" s="80"/>
      <c r="EL102" s="80"/>
      <c r="EM102" s="80"/>
      <c r="EN102" s="80"/>
      <c r="EO102" s="80"/>
      <c r="EP102" s="80"/>
      <c r="EQ102" s="80"/>
      <c r="ER102" s="80"/>
      <c r="ES102" s="80"/>
      <c r="ET102" s="80"/>
      <c r="EU102" s="80"/>
      <c r="EV102" s="80"/>
      <c r="EW102" s="80"/>
      <c r="EX102" s="80"/>
      <c r="EY102" s="80"/>
      <c r="EZ102" s="80"/>
      <c r="FA102" s="80"/>
      <c r="FB102" s="80"/>
      <c r="FC102" s="80"/>
      <c r="FD102" s="80"/>
      <c r="FE102" s="80"/>
      <c r="FF102" s="80"/>
      <c r="FG102" s="80"/>
      <c r="FH102" s="80"/>
      <c r="FI102" s="80"/>
      <c r="FJ102" s="80"/>
      <c r="FK102" s="80"/>
      <c r="FL102" s="80"/>
      <c r="FM102" s="80"/>
      <c r="FN102" s="80"/>
      <c r="FO102" s="80"/>
      <c r="FP102" s="80"/>
      <c r="FQ102" s="80"/>
      <c r="FR102" s="80"/>
      <c r="FS102" s="80"/>
      <c r="FT102" s="80"/>
      <c r="FU102" s="80"/>
      <c r="FV102" s="80"/>
      <c r="FW102" s="80"/>
      <c r="FX102" s="80"/>
      <c r="FY102" s="80"/>
      <c r="FZ102" s="80"/>
    </row>
    <row r="103" spans="8:182" ht="18" customHeight="1"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/>
      <c r="AL103" s="80"/>
      <c r="AM103" s="80"/>
      <c r="AN103" s="80"/>
      <c r="AO103" s="80"/>
      <c r="AP103" s="80"/>
      <c r="AQ103" s="80"/>
      <c r="AR103" s="80"/>
      <c r="AS103" s="80"/>
      <c r="AT103" s="80"/>
      <c r="AU103" s="80"/>
      <c r="AV103" s="80"/>
      <c r="AW103" s="80"/>
      <c r="AX103" s="80"/>
      <c r="AY103" s="80"/>
      <c r="AZ103" s="80"/>
      <c r="BA103" s="80"/>
      <c r="BB103" s="80"/>
      <c r="BC103" s="80"/>
      <c r="BD103" s="80"/>
      <c r="BE103" s="80"/>
      <c r="BF103" s="80"/>
      <c r="BG103" s="80"/>
      <c r="BH103" s="80"/>
      <c r="BI103" s="80"/>
      <c r="BJ103" s="80"/>
      <c r="BK103" s="80"/>
      <c r="BL103" s="80"/>
      <c r="BM103" s="80"/>
      <c r="BN103" s="80"/>
      <c r="BO103" s="80"/>
      <c r="BP103" s="80"/>
      <c r="BQ103" s="80"/>
      <c r="BR103" s="80"/>
      <c r="BS103" s="80"/>
      <c r="BT103" s="80"/>
      <c r="BU103" s="80"/>
      <c r="BV103" s="80"/>
      <c r="BW103" s="80"/>
      <c r="BX103" s="80"/>
      <c r="BY103" s="80"/>
      <c r="BZ103" s="80"/>
      <c r="CA103" s="80"/>
      <c r="CB103" s="80"/>
      <c r="CC103" s="80"/>
      <c r="CD103" s="80"/>
      <c r="CE103" s="80"/>
      <c r="CF103" s="80"/>
      <c r="CG103" s="80"/>
      <c r="CH103" s="80"/>
      <c r="CI103" s="80"/>
      <c r="CJ103" s="80"/>
      <c r="CK103" s="80"/>
      <c r="CL103" s="80"/>
      <c r="CM103" s="80"/>
      <c r="CN103" s="80"/>
      <c r="CO103" s="80"/>
      <c r="CP103" s="80"/>
      <c r="CQ103" s="80"/>
      <c r="CR103" s="80"/>
      <c r="CS103" s="80"/>
      <c r="CT103" s="80"/>
      <c r="CU103" s="80"/>
      <c r="CV103" s="80"/>
      <c r="CW103" s="80"/>
      <c r="CX103" s="80"/>
      <c r="CY103" s="80"/>
      <c r="CZ103" s="80"/>
      <c r="DA103" s="80"/>
      <c r="DB103" s="80"/>
      <c r="DC103" s="80"/>
      <c r="DD103" s="80"/>
      <c r="DE103" s="80"/>
      <c r="DF103" s="80"/>
      <c r="DG103" s="80"/>
      <c r="DH103" s="80"/>
      <c r="DI103" s="80"/>
      <c r="DJ103" s="80"/>
      <c r="DK103" s="80"/>
      <c r="DL103" s="80"/>
      <c r="DM103" s="80"/>
      <c r="DN103" s="80"/>
      <c r="DO103" s="80"/>
      <c r="DP103" s="80"/>
      <c r="DQ103" s="80"/>
      <c r="DR103" s="80"/>
      <c r="DS103" s="80"/>
      <c r="DT103" s="80"/>
      <c r="DU103" s="80"/>
      <c r="DV103" s="80"/>
      <c r="DW103" s="80"/>
      <c r="DX103" s="80"/>
      <c r="DY103" s="80"/>
      <c r="DZ103" s="80"/>
      <c r="EA103" s="80"/>
      <c r="EB103" s="80"/>
      <c r="EC103" s="80"/>
      <c r="ED103" s="80"/>
      <c r="EE103" s="80"/>
      <c r="EF103" s="80"/>
      <c r="EG103" s="80"/>
      <c r="EH103" s="80"/>
      <c r="EI103" s="80"/>
      <c r="EJ103" s="80"/>
      <c r="EK103" s="80"/>
      <c r="EL103" s="80"/>
      <c r="EM103" s="80"/>
      <c r="EN103" s="80"/>
      <c r="EO103" s="80"/>
      <c r="EP103" s="80"/>
      <c r="EQ103" s="80"/>
      <c r="ER103" s="80"/>
      <c r="ES103" s="80"/>
      <c r="ET103" s="80"/>
      <c r="EU103" s="80"/>
      <c r="EV103" s="80"/>
      <c r="EW103" s="80"/>
      <c r="EX103" s="80"/>
      <c r="EY103" s="80"/>
      <c r="EZ103" s="80"/>
      <c r="FA103" s="80"/>
      <c r="FB103" s="80"/>
      <c r="FC103" s="80"/>
      <c r="FD103" s="80"/>
      <c r="FE103" s="80"/>
      <c r="FF103" s="80"/>
      <c r="FG103" s="80"/>
      <c r="FH103" s="80"/>
      <c r="FI103" s="80"/>
      <c r="FJ103" s="80"/>
      <c r="FK103" s="80"/>
      <c r="FL103" s="80"/>
      <c r="FM103" s="80"/>
      <c r="FN103" s="80"/>
      <c r="FO103" s="80"/>
      <c r="FP103" s="80"/>
      <c r="FQ103" s="80"/>
      <c r="FR103" s="80"/>
      <c r="FS103" s="80"/>
      <c r="FT103" s="80"/>
      <c r="FU103" s="80"/>
      <c r="FV103" s="80"/>
      <c r="FW103" s="80"/>
      <c r="FX103" s="80"/>
      <c r="FY103" s="80"/>
      <c r="FZ103" s="80"/>
    </row>
    <row r="104" spans="8:182" ht="18" customHeight="1"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0"/>
      <c r="AM104" s="80"/>
      <c r="AN104" s="80"/>
      <c r="AO104" s="80"/>
      <c r="AP104" s="80"/>
      <c r="AQ104" s="80"/>
      <c r="AR104" s="80"/>
      <c r="AS104" s="80"/>
      <c r="AT104" s="80"/>
      <c r="AU104" s="80"/>
      <c r="AV104" s="80"/>
      <c r="AW104" s="80"/>
      <c r="AX104" s="80"/>
      <c r="AY104" s="80"/>
      <c r="AZ104" s="80"/>
      <c r="BA104" s="80"/>
      <c r="BB104" s="80"/>
      <c r="BC104" s="80"/>
      <c r="BD104" s="80"/>
      <c r="BE104" s="80"/>
      <c r="BF104" s="80"/>
      <c r="BG104" s="80"/>
      <c r="BH104" s="80"/>
      <c r="BI104" s="80"/>
      <c r="BJ104" s="80"/>
      <c r="BK104" s="80"/>
      <c r="BL104" s="80"/>
      <c r="BM104" s="80"/>
      <c r="BN104" s="80"/>
      <c r="BO104" s="80"/>
      <c r="BP104" s="80"/>
      <c r="BQ104" s="80"/>
      <c r="BR104" s="80"/>
      <c r="BS104" s="80"/>
      <c r="BT104" s="80"/>
      <c r="BU104" s="80"/>
      <c r="BV104" s="80"/>
      <c r="BW104" s="80"/>
      <c r="BX104" s="80"/>
      <c r="BY104" s="80"/>
      <c r="BZ104" s="80"/>
      <c r="CA104" s="80"/>
      <c r="CB104" s="80"/>
      <c r="CC104" s="80"/>
      <c r="CD104" s="80"/>
      <c r="CE104" s="80"/>
      <c r="CF104" s="80"/>
      <c r="CG104" s="80"/>
      <c r="CH104" s="80"/>
      <c r="CI104" s="80"/>
      <c r="CJ104" s="80"/>
      <c r="CK104" s="80"/>
      <c r="CL104" s="80"/>
      <c r="CM104" s="80"/>
      <c r="CN104" s="80"/>
      <c r="CO104" s="80"/>
      <c r="CP104" s="80"/>
      <c r="CQ104" s="80"/>
      <c r="CR104" s="80"/>
      <c r="CS104" s="80"/>
      <c r="CT104" s="80"/>
      <c r="CU104" s="80"/>
      <c r="CV104" s="80"/>
      <c r="CW104" s="80"/>
      <c r="CX104" s="80"/>
      <c r="CY104" s="80"/>
      <c r="CZ104" s="80"/>
      <c r="DA104" s="80"/>
      <c r="DB104" s="80"/>
      <c r="DC104" s="80"/>
      <c r="DD104" s="80"/>
      <c r="DE104" s="80"/>
      <c r="DF104" s="80"/>
      <c r="DG104" s="80"/>
      <c r="DH104" s="80"/>
      <c r="DI104" s="80"/>
      <c r="DJ104" s="80"/>
      <c r="DK104" s="80"/>
      <c r="DL104" s="80"/>
      <c r="DM104" s="80"/>
      <c r="DN104" s="80"/>
      <c r="DO104" s="80"/>
      <c r="DP104" s="80"/>
      <c r="DQ104" s="80"/>
      <c r="DR104" s="80"/>
      <c r="DS104" s="80"/>
      <c r="DT104" s="80"/>
      <c r="DU104" s="80"/>
      <c r="DV104" s="80"/>
      <c r="DW104" s="80"/>
      <c r="DX104" s="80"/>
      <c r="DY104" s="80"/>
      <c r="DZ104" s="80"/>
      <c r="EA104" s="80"/>
      <c r="EB104" s="80"/>
      <c r="EC104" s="80"/>
      <c r="ED104" s="80"/>
      <c r="EE104" s="80"/>
      <c r="EF104" s="80"/>
      <c r="EG104" s="80"/>
      <c r="EH104" s="80"/>
      <c r="EI104" s="80"/>
      <c r="EJ104" s="80"/>
      <c r="EK104" s="80"/>
      <c r="EL104" s="80"/>
      <c r="EM104" s="80"/>
      <c r="EN104" s="80"/>
      <c r="EO104" s="80"/>
      <c r="EP104" s="80"/>
      <c r="EQ104" s="80"/>
      <c r="ER104" s="80"/>
      <c r="ES104" s="80"/>
      <c r="ET104" s="80"/>
      <c r="EU104" s="80"/>
      <c r="EV104" s="80"/>
      <c r="EW104" s="80"/>
      <c r="EX104" s="80"/>
      <c r="EY104" s="80"/>
      <c r="EZ104" s="80"/>
      <c r="FA104" s="80"/>
      <c r="FB104" s="80"/>
      <c r="FC104" s="80"/>
      <c r="FD104" s="80"/>
      <c r="FE104" s="80"/>
      <c r="FF104" s="80"/>
      <c r="FG104" s="80"/>
      <c r="FH104" s="80"/>
      <c r="FI104" s="80"/>
      <c r="FJ104" s="80"/>
      <c r="FK104" s="80"/>
      <c r="FL104" s="80"/>
      <c r="FM104" s="80"/>
      <c r="FN104" s="80"/>
      <c r="FO104" s="80"/>
      <c r="FP104" s="80"/>
      <c r="FQ104" s="80"/>
      <c r="FR104" s="80"/>
      <c r="FS104" s="80"/>
      <c r="FT104" s="80"/>
      <c r="FU104" s="80"/>
      <c r="FV104" s="80"/>
      <c r="FW104" s="80"/>
      <c r="FX104" s="80"/>
      <c r="FY104" s="80"/>
      <c r="FZ104" s="80"/>
    </row>
    <row r="105" spans="8:182" ht="18" customHeight="1"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  <c r="AK105" s="80"/>
      <c r="AL105" s="80"/>
      <c r="AM105" s="80"/>
      <c r="AN105" s="80"/>
      <c r="AO105" s="80"/>
      <c r="AP105" s="80"/>
      <c r="AQ105" s="80"/>
      <c r="AR105" s="80"/>
      <c r="AS105" s="80"/>
      <c r="AT105" s="80"/>
      <c r="AU105" s="80"/>
      <c r="AV105" s="80"/>
      <c r="AW105" s="80"/>
      <c r="AX105" s="80"/>
      <c r="AY105" s="80"/>
      <c r="AZ105" s="80"/>
      <c r="BA105" s="80"/>
      <c r="BB105" s="80"/>
      <c r="BC105" s="80"/>
      <c r="BD105" s="80"/>
      <c r="BE105" s="80"/>
      <c r="BF105" s="80"/>
      <c r="BG105" s="80"/>
      <c r="BH105" s="80"/>
      <c r="BI105" s="80"/>
      <c r="BJ105" s="80"/>
      <c r="BK105" s="80"/>
      <c r="BL105" s="80"/>
      <c r="BM105" s="80"/>
      <c r="BN105" s="80"/>
      <c r="BO105" s="80"/>
      <c r="BP105" s="80"/>
      <c r="BQ105" s="80"/>
      <c r="BR105" s="80"/>
      <c r="BS105" s="80"/>
      <c r="BT105" s="80"/>
      <c r="BU105" s="80"/>
      <c r="BV105" s="80"/>
      <c r="BW105" s="80"/>
      <c r="BX105" s="80"/>
      <c r="BY105" s="80"/>
      <c r="BZ105" s="80"/>
      <c r="CA105" s="80"/>
      <c r="CB105" s="80"/>
      <c r="CC105" s="80"/>
      <c r="CD105" s="80"/>
      <c r="CE105" s="80"/>
      <c r="CF105" s="80"/>
      <c r="CG105" s="80"/>
      <c r="CH105" s="80"/>
      <c r="CI105" s="80"/>
      <c r="CJ105" s="80"/>
      <c r="CK105" s="80"/>
      <c r="CL105" s="80"/>
      <c r="CM105" s="80"/>
      <c r="CN105" s="80"/>
      <c r="CO105" s="80"/>
      <c r="CP105" s="80"/>
      <c r="CQ105" s="80"/>
      <c r="CR105" s="80"/>
      <c r="CS105" s="80"/>
      <c r="CT105" s="80"/>
      <c r="CU105" s="80"/>
      <c r="CV105" s="80"/>
      <c r="CW105" s="80"/>
      <c r="CX105" s="80"/>
      <c r="CY105" s="80"/>
      <c r="CZ105" s="80"/>
      <c r="DA105" s="80"/>
      <c r="DB105" s="80"/>
      <c r="DC105" s="80"/>
      <c r="DD105" s="80"/>
      <c r="DE105" s="80"/>
      <c r="DF105" s="80"/>
      <c r="DG105" s="80"/>
      <c r="DH105" s="80"/>
      <c r="DI105" s="80"/>
      <c r="DJ105" s="80"/>
      <c r="DK105" s="80"/>
      <c r="DL105" s="80"/>
      <c r="DM105" s="80"/>
      <c r="DN105" s="80"/>
      <c r="DO105" s="80"/>
      <c r="DP105" s="80"/>
      <c r="DQ105" s="80"/>
      <c r="DR105" s="80"/>
      <c r="DS105" s="80"/>
      <c r="DT105" s="80"/>
      <c r="DU105" s="80"/>
      <c r="DV105" s="80"/>
      <c r="DW105" s="80"/>
      <c r="DX105" s="80"/>
      <c r="DY105" s="80"/>
      <c r="DZ105" s="80"/>
      <c r="EA105" s="80"/>
      <c r="EB105" s="80"/>
      <c r="EC105" s="80"/>
      <c r="ED105" s="80"/>
      <c r="EE105" s="80"/>
      <c r="EF105" s="80"/>
      <c r="EG105" s="80"/>
      <c r="EH105" s="80"/>
      <c r="EI105" s="80"/>
      <c r="EJ105" s="80"/>
      <c r="EK105" s="80"/>
      <c r="EL105" s="80"/>
      <c r="EM105" s="80"/>
      <c r="EN105" s="80"/>
      <c r="EO105" s="80"/>
      <c r="EP105" s="80"/>
      <c r="EQ105" s="80"/>
      <c r="ER105" s="80"/>
      <c r="ES105" s="80"/>
      <c r="ET105" s="80"/>
      <c r="EU105" s="80"/>
      <c r="EV105" s="80"/>
      <c r="EW105" s="80"/>
      <c r="EX105" s="80"/>
      <c r="EY105" s="80"/>
      <c r="EZ105" s="80"/>
      <c r="FA105" s="80"/>
      <c r="FB105" s="80"/>
      <c r="FC105" s="80"/>
      <c r="FD105" s="80"/>
      <c r="FE105" s="80"/>
      <c r="FF105" s="80"/>
      <c r="FG105" s="80"/>
      <c r="FH105" s="80"/>
      <c r="FI105" s="80"/>
      <c r="FJ105" s="80"/>
      <c r="FK105" s="80"/>
      <c r="FL105" s="80"/>
      <c r="FM105" s="80"/>
      <c r="FN105" s="80"/>
      <c r="FO105" s="80"/>
      <c r="FP105" s="80"/>
      <c r="FQ105" s="80"/>
      <c r="FR105" s="80"/>
      <c r="FS105" s="80"/>
      <c r="FT105" s="80"/>
      <c r="FU105" s="80"/>
      <c r="FV105" s="80"/>
      <c r="FW105" s="80"/>
      <c r="FX105" s="80"/>
      <c r="FY105" s="80"/>
      <c r="FZ105" s="80"/>
    </row>
    <row r="106" spans="8:182" ht="18" customHeight="1"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  <c r="BB106" s="80"/>
      <c r="BC106" s="80"/>
      <c r="BD106" s="80"/>
      <c r="BE106" s="80"/>
      <c r="BF106" s="80"/>
      <c r="BG106" s="80"/>
      <c r="BH106" s="80"/>
      <c r="BI106" s="80"/>
      <c r="BJ106" s="80"/>
      <c r="BK106" s="80"/>
      <c r="BL106" s="80"/>
      <c r="BM106" s="80"/>
      <c r="BN106" s="80"/>
      <c r="BO106" s="80"/>
      <c r="BP106" s="80"/>
      <c r="BQ106" s="80"/>
      <c r="BR106" s="80"/>
      <c r="BS106" s="80"/>
      <c r="BT106" s="80"/>
      <c r="BU106" s="80"/>
      <c r="BV106" s="80"/>
      <c r="BW106" s="80"/>
      <c r="BX106" s="80"/>
      <c r="BY106" s="80"/>
      <c r="BZ106" s="80"/>
      <c r="CA106" s="80"/>
      <c r="CB106" s="80"/>
      <c r="CC106" s="80"/>
      <c r="CD106" s="80"/>
      <c r="CE106" s="80"/>
      <c r="CF106" s="80"/>
      <c r="CG106" s="80"/>
      <c r="CH106" s="80"/>
      <c r="CI106" s="80"/>
      <c r="CJ106" s="80"/>
      <c r="CK106" s="80"/>
      <c r="CL106" s="80"/>
      <c r="CM106" s="80"/>
      <c r="CN106" s="80"/>
      <c r="CO106" s="80"/>
      <c r="CP106" s="80"/>
      <c r="CQ106" s="80"/>
      <c r="CR106" s="80"/>
      <c r="CS106" s="80"/>
      <c r="CT106" s="80"/>
      <c r="CU106" s="80"/>
      <c r="CV106" s="80"/>
      <c r="CW106" s="80"/>
      <c r="CX106" s="80"/>
      <c r="CY106" s="80"/>
      <c r="CZ106" s="80"/>
      <c r="DA106" s="80"/>
      <c r="DB106" s="80"/>
      <c r="DC106" s="80"/>
      <c r="DD106" s="80"/>
      <c r="DE106" s="80"/>
      <c r="DF106" s="80"/>
      <c r="DG106" s="80"/>
      <c r="DH106" s="80"/>
      <c r="DI106" s="80"/>
      <c r="DJ106" s="80"/>
      <c r="DK106" s="80"/>
      <c r="DL106" s="80"/>
      <c r="DM106" s="80"/>
      <c r="DN106" s="80"/>
      <c r="DO106" s="80"/>
      <c r="DP106" s="80"/>
      <c r="DQ106" s="80"/>
      <c r="DR106" s="80"/>
      <c r="DS106" s="80"/>
      <c r="DT106" s="80"/>
      <c r="DU106" s="80"/>
      <c r="DV106" s="80"/>
      <c r="DW106" s="80"/>
      <c r="DX106" s="80"/>
      <c r="DY106" s="80"/>
      <c r="DZ106" s="80"/>
      <c r="EA106" s="80"/>
      <c r="EB106" s="80"/>
      <c r="EC106" s="80"/>
      <c r="ED106" s="80"/>
      <c r="EE106" s="80"/>
      <c r="EF106" s="80"/>
      <c r="EG106" s="80"/>
      <c r="EH106" s="80"/>
      <c r="EI106" s="80"/>
      <c r="EJ106" s="80"/>
      <c r="EK106" s="80"/>
      <c r="EL106" s="80"/>
      <c r="EM106" s="80"/>
      <c r="EN106" s="80"/>
      <c r="EO106" s="80"/>
      <c r="EP106" s="80"/>
      <c r="EQ106" s="80"/>
      <c r="ER106" s="80"/>
      <c r="ES106" s="80"/>
      <c r="ET106" s="80"/>
      <c r="EU106" s="80"/>
      <c r="EV106" s="80"/>
      <c r="EW106" s="80"/>
      <c r="EX106" s="80"/>
      <c r="EY106" s="80"/>
      <c r="EZ106" s="80"/>
      <c r="FA106" s="80"/>
      <c r="FB106" s="80"/>
      <c r="FC106" s="80"/>
      <c r="FD106" s="80"/>
      <c r="FE106" s="80"/>
      <c r="FF106" s="80"/>
      <c r="FG106" s="80"/>
      <c r="FH106" s="80"/>
      <c r="FI106" s="80"/>
      <c r="FJ106" s="80"/>
      <c r="FK106" s="80"/>
      <c r="FL106" s="80"/>
      <c r="FM106" s="80"/>
      <c r="FN106" s="80"/>
      <c r="FO106" s="80"/>
      <c r="FP106" s="80"/>
      <c r="FQ106" s="80"/>
      <c r="FR106" s="80"/>
      <c r="FS106" s="80"/>
      <c r="FT106" s="80"/>
      <c r="FU106" s="80"/>
      <c r="FV106" s="80"/>
      <c r="FW106" s="80"/>
      <c r="FX106" s="80"/>
      <c r="FY106" s="80"/>
      <c r="FZ106" s="80"/>
    </row>
    <row r="107" spans="8:182" ht="18" customHeight="1"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80"/>
      <c r="BD107" s="80"/>
      <c r="BE107" s="80"/>
      <c r="BF107" s="80"/>
      <c r="BG107" s="80"/>
      <c r="BH107" s="80"/>
      <c r="BI107" s="80"/>
      <c r="BJ107" s="80"/>
      <c r="BK107" s="80"/>
      <c r="BL107" s="80"/>
      <c r="BM107" s="80"/>
      <c r="BN107" s="80"/>
      <c r="BO107" s="80"/>
      <c r="BP107" s="80"/>
      <c r="BQ107" s="80"/>
      <c r="BR107" s="80"/>
      <c r="BS107" s="80"/>
      <c r="BT107" s="80"/>
      <c r="BU107" s="80"/>
      <c r="BV107" s="80"/>
      <c r="BW107" s="80"/>
      <c r="BX107" s="80"/>
      <c r="BY107" s="80"/>
      <c r="BZ107" s="80"/>
      <c r="CA107" s="80"/>
      <c r="CB107" s="80"/>
      <c r="CC107" s="80"/>
      <c r="CD107" s="80"/>
      <c r="CE107" s="80"/>
      <c r="CF107" s="80"/>
      <c r="CG107" s="80"/>
      <c r="CH107" s="80"/>
      <c r="CI107" s="80"/>
      <c r="CJ107" s="80"/>
      <c r="CK107" s="80"/>
      <c r="CL107" s="80"/>
      <c r="CM107" s="80"/>
      <c r="CN107" s="80"/>
      <c r="CO107" s="80"/>
      <c r="CP107" s="80"/>
      <c r="CQ107" s="80"/>
      <c r="CR107" s="80"/>
      <c r="CS107" s="80"/>
      <c r="CT107" s="80"/>
      <c r="CU107" s="80"/>
      <c r="CV107" s="80"/>
      <c r="CW107" s="80"/>
      <c r="CX107" s="80"/>
      <c r="CY107" s="80"/>
      <c r="CZ107" s="80"/>
      <c r="DA107" s="80"/>
      <c r="DB107" s="80"/>
      <c r="DC107" s="80"/>
      <c r="DD107" s="80"/>
      <c r="DE107" s="80"/>
      <c r="DF107" s="80"/>
      <c r="DG107" s="80"/>
      <c r="DH107" s="80"/>
      <c r="DI107" s="80"/>
      <c r="DJ107" s="80"/>
      <c r="DK107" s="80"/>
      <c r="DL107" s="80"/>
      <c r="DM107" s="80"/>
      <c r="DN107" s="80"/>
      <c r="DO107" s="80"/>
      <c r="DP107" s="80"/>
      <c r="DQ107" s="80"/>
      <c r="DR107" s="80"/>
      <c r="DS107" s="80"/>
      <c r="DT107" s="80"/>
      <c r="DU107" s="80"/>
      <c r="DV107" s="80"/>
      <c r="DW107" s="80"/>
      <c r="DX107" s="80"/>
      <c r="DY107" s="80"/>
      <c r="DZ107" s="80"/>
      <c r="EA107" s="80"/>
      <c r="EB107" s="80"/>
      <c r="EC107" s="80"/>
      <c r="ED107" s="80"/>
      <c r="EE107" s="80"/>
      <c r="EF107" s="80"/>
      <c r="EG107" s="80"/>
      <c r="EH107" s="80"/>
      <c r="EI107" s="80"/>
      <c r="EJ107" s="80"/>
      <c r="EK107" s="80"/>
      <c r="EL107" s="80"/>
      <c r="EM107" s="80"/>
      <c r="EN107" s="80"/>
      <c r="EO107" s="80"/>
      <c r="EP107" s="80"/>
      <c r="EQ107" s="80"/>
      <c r="ER107" s="80"/>
      <c r="ES107" s="80"/>
      <c r="ET107" s="80"/>
      <c r="EU107" s="80"/>
      <c r="EV107" s="80"/>
      <c r="EW107" s="80"/>
      <c r="EX107" s="80"/>
      <c r="EY107" s="80"/>
      <c r="EZ107" s="80"/>
      <c r="FA107" s="80"/>
      <c r="FB107" s="80"/>
      <c r="FC107" s="80"/>
      <c r="FD107" s="80"/>
      <c r="FE107" s="80"/>
      <c r="FF107" s="80"/>
      <c r="FG107" s="80"/>
      <c r="FH107" s="80"/>
      <c r="FI107" s="80"/>
      <c r="FJ107" s="80"/>
      <c r="FK107" s="80"/>
      <c r="FL107" s="80"/>
      <c r="FM107" s="80"/>
      <c r="FN107" s="80"/>
      <c r="FO107" s="80"/>
      <c r="FP107" s="80"/>
      <c r="FQ107" s="80"/>
      <c r="FR107" s="80"/>
      <c r="FS107" s="80"/>
      <c r="FT107" s="80"/>
      <c r="FU107" s="80"/>
      <c r="FV107" s="80"/>
      <c r="FW107" s="80"/>
      <c r="FX107" s="80"/>
      <c r="FY107" s="80"/>
      <c r="FZ107" s="80"/>
    </row>
    <row r="108" spans="8:182" ht="18" customHeight="1"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  <c r="AK108" s="80"/>
      <c r="AL108" s="80"/>
      <c r="AM108" s="80"/>
      <c r="AN108" s="80"/>
      <c r="AO108" s="80"/>
      <c r="AP108" s="80"/>
      <c r="AQ108" s="80"/>
      <c r="AR108" s="80"/>
      <c r="AS108" s="80"/>
      <c r="AT108" s="80"/>
      <c r="AU108" s="80"/>
      <c r="AV108" s="80"/>
      <c r="AW108" s="80"/>
      <c r="AX108" s="80"/>
      <c r="AY108" s="80"/>
      <c r="AZ108" s="80"/>
      <c r="BA108" s="80"/>
      <c r="BB108" s="80"/>
      <c r="BC108" s="80"/>
      <c r="BD108" s="80"/>
      <c r="BE108" s="80"/>
      <c r="BF108" s="80"/>
      <c r="BG108" s="80"/>
      <c r="BH108" s="80"/>
      <c r="BI108" s="80"/>
      <c r="BJ108" s="80"/>
      <c r="BK108" s="80"/>
      <c r="BL108" s="80"/>
      <c r="BM108" s="80"/>
      <c r="BN108" s="80"/>
      <c r="BO108" s="80"/>
      <c r="BP108" s="80"/>
      <c r="BQ108" s="80"/>
      <c r="BR108" s="80"/>
      <c r="BS108" s="80"/>
      <c r="BT108" s="80"/>
      <c r="BU108" s="80"/>
      <c r="BV108" s="80"/>
      <c r="BW108" s="80"/>
      <c r="BX108" s="80"/>
      <c r="BY108" s="80"/>
      <c r="BZ108" s="80"/>
      <c r="CA108" s="80"/>
      <c r="CB108" s="80"/>
      <c r="CC108" s="80"/>
      <c r="CD108" s="80"/>
      <c r="CE108" s="80"/>
      <c r="CF108" s="80"/>
      <c r="CG108" s="80"/>
      <c r="CH108" s="80"/>
      <c r="CI108" s="80"/>
      <c r="CJ108" s="80"/>
      <c r="CK108" s="80"/>
      <c r="CL108" s="80"/>
      <c r="CM108" s="80"/>
      <c r="CN108" s="80"/>
      <c r="CO108" s="80"/>
      <c r="CP108" s="80"/>
      <c r="CQ108" s="80"/>
      <c r="CR108" s="80"/>
      <c r="CS108" s="80"/>
      <c r="CT108" s="80"/>
      <c r="CU108" s="80"/>
      <c r="CV108" s="80"/>
      <c r="CW108" s="80"/>
      <c r="CX108" s="80"/>
      <c r="CY108" s="80"/>
      <c r="CZ108" s="80"/>
      <c r="DA108" s="80"/>
      <c r="DB108" s="80"/>
      <c r="DC108" s="80"/>
      <c r="DD108" s="80"/>
      <c r="DE108" s="80"/>
      <c r="DF108" s="80"/>
      <c r="DG108" s="80"/>
      <c r="DH108" s="80"/>
      <c r="DI108" s="80"/>
      <c r="DJ108" s="80"/>
      <c r="DK108" s="80"/>
      <c r="DL108" s="80"/>
      <c r="DM108" s="80"/>
      <c r="DN108" s="80"/>
      <c r="DO108" s="80"/>
      <c r="DP108" s="80"/>
      <c r="DQ108" s="80"/>
      <c r="DR108" s="80"/>
      <c r="DS108" s="80"/>
      <c r="DT108" s="80"/>
      <c r="DU108" s="80"/>
      <c r="DV108" s="80"/>
      <c r="DW108" s="80"/>
      <c r="DX108" s="80"/>
      <c r="DY108" s="80"/>
      <c r="DZ108" s="80"/>
      <c r="EA108" s="80"/>
      <c r="EB108" s="80"/>
      <c r="EC108" s="80"/>
      <c r="ED108" s="80"/>
      <c r="EE108" s="80"/>
      <c r="EF108" s="80"/>
      <c r="EG108" s="80"/>
      <c r="EH108" s="80"/>
      <c r="EI108" s="80"/>
      <c r="EJ108" s="80"/>
      <c r="EK108" s="80"/>
      <c r="EL108" s="80"/>
      <c r="EM108" s="80"/>
      <c r="EN108" s="80"/>
      <c r="EO108" s="80"/>
      <c r="EP108" s="80"/>
      <c r="EQ108" s="80"/>
      <c r="ER108" s="80"/>
      <c r="ES108" s="80"/>
      <c r="ET108" s="80"/>
      <c r="EU108" s="80"/>
      <c r="EV108" s="80"/>
      <c r="EW108" s="80"/>
      <c r="EX108" s="80"/>
      <c r="EY108" s="80"/>
      <c r="EZ108" s="80"/>
      <c r="FA108" s="80"/>
      <c r="FB108" s="80"/>
      <c r="FC108" s="80"/>
      <c r="FD108" s="80"/>
      <c r="FE108" s="80"/>
      <c r="FF108" s="80"/>
      <c r="FG108" s="80"/>
      <c r="FH108" s="80"/>
      <c r="FI108" s="80"/>
      <c r="FJ108" s="80"/>
      <c r="FK108" s="80"/>
      <c r="FL108" s="80"/>
      <c r="FM108" s="80"/>
      <c r="FN108" s="80"/>
      <c r="FO108" s="80"/>
      <c r="FP108" s="80"/>
      <c r="FQ108" s="80"/>
      <c r="FR108" s="80"/>
      <c r="FS108" s="80"/>
      <c r="FT108" s="80"/>
      <c r="FU108" s="80"/>
      <c r="FV108" s="80"/>
      <c r="FW108" s="80"/>
      <c r="FX108" s="80"/>
      <c r="FY108" s="80"/>
      <c r="FZ108" s="80"/>
    </row>
    <row r="109" spans="8:182" ht="18" customHeight="1"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80"/>
      <c r="AK109" s="80"/>
      <c r="AL109" s="80"/>
      <c r="AM109" s="80"/>
      <c r="AN109" s="80"/>
      <c r="AO109" s="80"/>
      <c r="AP109" s="80"/>
      <c r="AQ109" s="80"/>
      <c r="AR109" s="80"/>
      <c r="AS109" s="80"/>
      <c r="AT109" s="80"/>
      <c r="AU109" s="80"/>
      <c r="AV109" s="80"/>
      <c r="AW109" s="80"/>
      <c r="AX109" s="80"/>
      <c r="AY109" s="80"/>
      <c r="AZ109" s="80"/>
      <c r="BA109" s="80"/>
      <c r="BB109" s="80"/>
      <c r="BC109" s="80"/>
      <c r="BD109" s="80"/>
      <c r="BE109" s="80"/>
      <c r="BF109" s="80"/>
      <c r="BG109" s="80"/>
      <c r="BH109" s="80"/>
      <c r="BI109" s="80"/>
      <c r="BJ109" s="80"/>
      <c r="BK109" s="80"/>
      <c r="BL109" s="80"/>
      <c r="BM109" s="80"/>
      <c r="BN109" s="80"/>
      <c r="BO109" s="80"/>
      <c r="BP109" s="80"/>
      <c r="BQ109" s="80"/>
      <c r="BR109" s="80"/>
      <c r="BS109" s="80"/>
      <c r="BT109" s="80"/>
      <c r="BU109" s="80"/>
      <c r="BV109" s="80"/>
      <c r="BW109" s="80"/>
      <c r="BX109" s="80"/>
      <c r="BY109" s="80"/>
      <c r="BZ109" s="80"/>
      <c r="CA109" s="80"/>
      <c r="CB109" s="80"/>
      <c r="CC109" s="80"/>
      <c r="CD109" s="80"/>
      <c r="CE109" s="80"/>
      <c r="CF109" s="80"/>
      <c r="CG109" s="80"/>
      <c r="CH109" s="80"/>
      <c r="CI109" s="80"/>
      <c r="CJ109" s="80"/>
      <c r="CK109" s="80"/>
      <c r="CL109" s="80"/>
      <c r="CM109" s="80"/>
      <c r="CN109" s="80"/>
      <c r="CO109" s="80"/>
      <c r="CP109" s="80"/>
      <c r="CQ109" s="80"/>
      <c r="CR109" s="80"/>
      <c r="CS109" s="80"/>
      <c r="CT109" s="80"/>
      <c r="CU109" s="80"/>
      <c r="CV109" s="80"/>
      <c r="CW109" s="80"/>
      <c r="CX109" s="80"/>
      <c r="CY109" s="80"/>
      <c r="CZ109" s="80"/>
      <c r="DA109" s="80"/>
      <c r="DB109" s="80"/>
      <c r="DC109" s="80"/>
      <c r="DD109" s="80"/>
      <c r="DE109" s="80"/>
      <c r="DF109" s="80"/>
      <c r="DG109" s="80"/>
      <c r="DH109" s="80"/>
      <c r="DI109" s="80"/>
      <c r="DJ109" s="80"/>
      <c r="DK109" s="80"/>
      <c r="DL109" s="80"/>
      <c r="DM109" s="80"/>
      <c r="DN109" s="80"/>
      <c r="DO109" s="80"/>
      <c r="DP109" s="80"/>
      <c r="DQ109" s="80"/>
      <c r="DR109" s="80"/>
      <c r="DS109" s="80"/>
      <c r="DT109" s="80"/>
      <c r="DU109" s="80"/>
      <c r="DV109" s="80"/>
      <c r="DW109" s="80"/>
      <c r="DX109" s="80"/>
      <c r="DY109" s="80"/>
      <c r="DZ109" s="80"/>
      <c r="EA109" s="80"/>
      <c r="EB109" s="80"/>
      <c r="EC109" s="80"/>
      <c r="ED109" s="80"/>
      <c r="EE109" s="80"/>
      <c r="EF109" s="80"/>
      <c r="EG109" s="80"/>
      <c r="EH109" s="80"/>
      <c r="EI109" s="80"/>
      <c r="EJ109" s="80"/>
      <c r="EK109" s="80"/>
      <c r="EL109" s="80"/>
      <c r="EM109" s="80"/>
      <c r="EN109" s="80"/>
      <c r="EO109" s="80"/>
      <c r="EP109" s="80"/>
      <c r="EQ109" s="80"/>
      <c r="ER109" s="80"/>
      <c r="ES109" s="80"/>
      <c r="ET109" s="80"/>
      <c r="EU109" s="80"/>
      <c r="EV109" s="80"/>
      <c r="EW109" s="80"/>
      <c r="EX109" s="80"/>
      <c r="EY109" s="80"/>
      <c r="EZ109" s="80"/>
      <c r="FA109" s="80"/>
      <c r="FB109" s="80"/>
      <c r="FC109" s="80"/>
      <c r="FD109" s="80"/>
      <c r="FE109" s="80"/>
      <c r="FF109" s="80"/>
      <c r="FG109" s="80"/>
      <c r="FH109" s="80"/>
      <c r="FI109" s="80"/>
      <c r="FJ109" s="80"/>
      <c r="FK109" s="80"/>
      <c r="FL109" s="80"/>
      <c r="FM109" s="80"/>
      <c r="FN109" s="80"/>
      <c r="FO109" s="80"/>
      <c r="FP109" s="80"/>
      <c r="FQ109" s="80"/>
      <c r="FR109" s="80"/>
      <c r="FS109" s="80"/>
      <c r="FT109" s="80"/>
      <c r="FU109" s="80"/>
      <c r="FV109" s="80"/>
      <c r="FW109" s="80"/>
      <c r="FX109" s="80"/>
      <c r="FY109" s="80"/>
      <c r="FZ109" s="80"/>
    </row>
    <row r="110" spans="8:182" ht="18" customHeight="1"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  <c r="AJ110" s="80"/>
      <c r="AK110" s="80"/>
      <c r="AL110" s="80"/>
      <c r="AM110" s="80"/>
      <c r="AN110" s="80"/>
      <c r="AO110" s="80"/>
      <c r="AP110" s="80"/>
      <c r="AQ110" s="80"/>
      <c r="AR110" s="80"/>
      <c r="AS110" s="80"/>
      <c r="AT110" s="80"/>
      <c r="AU110" s="80"/>
      <c r="AV110" s="80"/>
      <c r="AW110" s="80"/>
      <c r="AX110" s="80"/>
      <c r="AY110" s="80"/>
      <c r="AZ110" s="80"/>
      <c r="BA110" s="80"/>
      <c r="BB110" s="80"/>
      <c r="BC110" s="80"/>
      <c r="BD110" s="80"/>
      <c r="BE110" s="80"/>
      <c r="BF110" s="80"/>
      <c r="BG110" s="80"/>
      <c r="BH110" s="80"/>
      <c r="BI110" s="80"/>
      <c r="BJ110" s="80"/>
      <c r="BK110" s="80"/>
      <c r="BL110" s="80"/>
      <c r="BM110" s="80"/>
      <c r="BN110" s="80"/>
      <c r="BO110" s="80"/>
      <c r="BP110" s="80"/>
      <c r="BQ110" s="80"/>
      <c r="BR110" s="80"/>
      <c r="BS110" s="80"/>
      <c r="BT110" s="80"/>
      <c r="BU110" s="80"/>
      <c r="BV110" s="80"/>
      <c r="BW110" s="80"/>
      <c r="BX110" s="80"/>
      <c r="BY110" s="80"/>
      <c r="BZ110" s="80"/>
      <c r="CA110" s="80"/>
      <c r="CB110" s="80"/>
      <c r="CC110" s="80"/>
      <c r="CD110" s="80"/>
      <c r="CE110" s="80"/>
      <c r="CF110" s="80"/>
      <c r="CG110" s="80"/>
      <c r="CH110" s="80"/>
      <c r="CI110" s="80"/>
      <c r="CJ110" s="80"/>
      <c r="CK110" s="80"/>
      <c r="CL110" s="80"/>
      <c r="CM110" s="80"/>
      <c r="CN110" s="80"/>
      <c r="CO110" s="80"/>
      <c r="CP110" s="80"/>
      <c r="CQ110" s="80"/>
      <c r="CR110" s="80"/>
      <c r="CS110" s="80"/>
      <c r="CT110" s="80"/>
      <c r="CU110" s="80"/>
      <c r="CV110" s="80"/>
      <c r="CW110" s="80"/>
      <c r="CX110" s="80"/>
      <c r="CY110" s="80"/>
      <c r="CZ110" s="80"/>
      <c r="DA110" s="80"/>
      <c r="DB110" s="80"/>
      <c r="DC110" s="80"/>
      <c r="DD110" s="80"/>
      <c r="DE110" s="80"/>
      <c r="DF110" s="80"/>
      <c r="DG110" s="80"/>
      <c r="DH110" s="80"/>
      <c r="DI110" s="80"/>
      <c r="DJ110" s="80"/>
      <c r="DK110" s="80"/>
      <c r="DL110" s="80"/>
      <c r="DM110" s="80"/>
      <c r="DN110" s="80"/>
      <c r="DO110" s="80"/>
      <c r="DP110" s="80"/>
      <c r="DQ110" s="80"/>
      <c r="DR110" s="80"/>
      <c r="DS110" s="80"/>
      <c r="DT110" s="80"/>
      <c r="DU110" s="80"/>
      <c r="DV110" s="80"/>
      <c r="DW110" s="80"/>
      <c r="DX110" s="80"/>
      <c r="DY110" s="80"/>
      <c r="DZ110" s="80"/>
      <c r="EA110" s="80"/>
      <c r="EB110" s="80"/>
      <c r="EC110" s="80"/>
      <c r="ED110" s="80"/>
      <c r="EE110" s="80"/>
      <c r="EF110" s="80"/>
      <c r="EG110" s="80"/>
      <c r="EH110" s="80"/>
      <c r="EI110" s="80"/>
      <c r="EJ110" s="80"/>
      <c r="EK110" s="80"/>
      <c r="EL110" s="80"/>
      <c r="EM110" s="80"/>
      <c r="EN110" s="80"/>
      <c r="EO110" s="80"/>
      <c r="EP110" s="80"/>
      <c r="EQ110" s="80"/>
      <c r="ER110" s="80"/>
      <c r="ES110" s="80"/>
      <c r="ET110" s="80"/>
      <c r="EU110" s="80"/>
      <c r="EV110" s="80"/>
      <c r="EW110" s="80"/>
      <c r="EX110" s="80"/>
      <c r="EY110" s="80"/>
      <c r="EZ110" s="80"/>
      <c r="FA110" s="80"/>
      <c r="FB110" s="80"/>
      <c r="FC110" s="80"/>
      <c r="FD110" s="80"/>
      <c r="FE110" s="80"/>
      <c r="FF110" s="80"/>
      <c r="FG110" s="80"/>
      <c r="FH110" s="80"/>
      <c r="FI110" s="80"/>
      <c r="FJ110" s="80"/>
      <c r="FK110" s="80"/>
      <c r="FL110" s="80"/>
      <c r="FM110" s="80"/>
      <c r="FN110" s="80"/>
      <c r="FO110" s="80"/>
      <c r="FP110" s="80"/>
      <c r="FQ110" s="80"/>
      <c r="FR110" s="80"/>
      <c r="FS110" s="80"/>
      <c r="FT110" s="80"/>
      <c r="FU110" s="80"/>
      <c r="FV110" s="80"/>
      <c r="FW110" s="80"/>
      <c r="FX110" s="80"/>
      <c r="FY110" s="80"/>
      <c r="FZ110" s="80"/>
    </row>
    <row r="111" spans="8:182" ht="18" customHeight="1"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0"/>
      <c r="AK111" s="80"/>
      <c r="AL111" s="80"/>
      <c r="AM111" s="80"/>
      <c r="AN111" s="80"/>
      <c r="AO111" s="80"/>
      <c r="AP111" s="80"/>
      <c r="AQ111" s="80"/>
      <c r="AR111" s="80"/>
      <c r="AS111" s="80"/>
      <c r="AT111" s="80"/>
      <c r="AU111" s="80"/>
      <c r="AV111" s="80"/>
      <c r="AW111" s="80"/>
      <c r="AX111" s="80"/>
      <c r="AY111" s="80"/>
      <c r="AZ111" s="80"/>
      <c r="BA111" s="80"/>
      <c r="BB111" s="80"/>
      <c r="BC111" s="80"/>
      <c r="BD111" s="80"/>
      <c r="BE111" s="80"/>
      <c r="BF111" s="80"/>
      <c r="BG111" s="80"/>
      <c r="BH111" s="80"/>
      <c r="BI111" s="80"/>
      <c r="BJ111" s="80"/>
      <c r="BK111" s="80"/>
      <c r="BL111" s="80"/>
      <c r="BM111" s="80"/>
      <c r="BN111" s="80"/>
      <c r="BO111" s="80"/>
      <c r="BP111" s="80"/>
      <c r="BQ111" s="80"/>
      <c r="BR111" s="80"/>
      <c r="BS111" s="80"/>
      <c r="BT111" s="80"/>
      <c r="BU111" s="80"/>
      <c r="BV111" s="80"/>
      <c r="BW111" s="80"/>
      <c r="BX111" s="80"/>
      <c r="BY111" s="80"/>
      <c r="BZ111" s="80"/>
      <c r="CA111" s="80"/>
      <c r="CB111" s="80"/>
      <c r="CC111" s="80"/>
      <c r="CD111" s="80"/>
      <c r="CE111" s="80"/>
      <c r="CF111" s="80"/>
      <c r="CG111" s="80"/>
      <c r="CH111" s="80"/>
      <c r="CI111" s="80"/>
      <c r="CJ111" s="80"/>
      <c r="CK111" s="80"/>
      <c r="CL111" s="80"/>
      <c r="CM111" s="80"/>
      <c r="CN111" s="80"/>
      <c r="CO111" s="80"/>
      <c r="CP111" s="80"/>
      <c r="CQ111" s="80"/>
      <c r="CR111" s="80"/>
      <c r="CS111" s="80"/>
      <c r="CT111" s="80"/>
      <c r="CU111" s="80"/>
      <c r="CV111" s="80"/>
      <c r="CW111" s="80"/>
      <c r="CX111" s="80"/>
      <c r="CY111" s="80"/>
      <c r="CZ111" s="80"/>
      <c r="DA111" s="80"/>
      <c r="DB111" s="80"/>
      <c r="DC111" s="80"/>
      <c r="DD111" s="80"/>
      <c r="DE111" s="80"/>
      <c r="DF111" s="80"/>
      <c r="DG111" s="80"/>
      <c r="DH111" s="80"/>
      <c r="DI111" s="80"/>
      <c r="DJ111" s="80"/>
      <c r="DK111" s="80"/>
      <c r="DL111" s="80"/>
      <c r="DM111" s="80"/>
      <c r="DN111" s="80"/>
      <c r="DO111" s="80"/>
      <c r="DP111" s="80"/>
      <c r="DQ111" s="80"/>
      <c r="DR111" s="80"/>
      <c r="DS111" s="80"/>
      <c r="DT111" s="80"/>
      <c r="DU111" s="80"/>
      <c r="DV111" s="80"/>
      <c r="DW111" s="80"/>
      <c r="DX111" s="80"/>
      <c r="DY111" s="80"/>
      <c r="DZ111" s="80"/>
      <c r="EA111" s="80"/>
      <c r="EB111" s="80"/>
      <c r="EC111" s="80"/>
      <c r="ED111" s="80"/>
      <c r="EE111" s="80"/>
      <c r="EF111" s="80"/>
      <c r="EG111" s="80"/>
      <c r="EH111" s="80"/>
      <c r="EI111" s="80"/>
      <c r="EJ111" s="80"/>
      <c r="EK111" s="80"/>
      <c r="EL111" s="80"/>
      <c r="EM111" s="80"/>
      <c r="EN111" s="80"/>
      <c r="EO111" s="80"/>
      <c r="EP111" s="80"/>
      <c r="EQ111" s="80"/>
      <c r="ER111" s="80"/>
      <c r="ES111" s="80"/>
      <c r="ET111" s="80"/>
      <c r="EU111" s="80"/>
      <c r="EV111" s="80"/>
      <c r="EW111" s="80"/>
      <c r="EX111" s="80"/>
      <c r="EY111" s="80"/>
      <c r="EZ111" s="80"/>
      <c r="FA111" s="80"/>
      <c r="FB111" s="80"/>
      <c r="FC111" s="80"/>
      <c r="FD111" s="80"/>
      <c r="FE111" s="80"/>
      <c r="FF111" s="80"/>
      <c r="FG111" s="80"/>
      <c r="FH111" s="80"/>
      <c r="FI111" s="80"/>
      <c r="FJ111" s="80"/>
      <c r="FK111" s="80"/>
      <c r="FL111" s="80"/>
      <c r="FM111" s="80"/>
      <c r="FN111" s="80"/>
      <c r="FO111" s="80"/>
      <c r="FP111" s="80"/>
      <c r="FQ111" s="80"/>
      <c r="FR111" s="80"/>
      <c r="FS111" s="80"/>
      <c r="FT111" s="80"/>
      <c r="FU111" s="80"/>
      <c r="FV111" s="80"/>
      <c r="FW111" s="80"/>
      <c r="FX111" s="80"/>
      <c r="FY111" s="80"/>
      <c r="FZ111" s="80"/>
    </row>
    <row r="112" spans="8:182" ht="18" customHeight="1"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0"/>
      <c r="AJ112" s="80"/>
      <c r="AK112" s="80"/>
      <c r="AL112" s="80"/>
      <c r="AM112" s="80"/>
      <c r="AN112" s="80"/>
      <c r="AO112" s="80"/>
      <c r="AP112" s="80"/>
      <c r="AQ112" s="80"/>
      <c r="AR112" s="80"/>
      <c r="AS112" s="80"/>
      <c r="AT112" s="80"/>
      <c r="AU112" s="80"/>
      <c r="AV112" s="80"/>
      <c r="AW112" s="80"/>
      <c r="AX112" s="80"/>
      <c r="AY112" s="80"/>
      <c r="AZ112" s="80"/>
      <c r="BA112" s="80"/>
      <c r="BB112" s="80"/>
      <c r="BC112" s="80"/>
      <c r="BD112" s="80"/>
      <c r="BE112" s="80"/>
      <c r="BF112" s="80"/>
      <c r="BG112" s="80"/>
      <c r="BH112" s="80"/>
      <c r="BI112" s="80"/>
      <c r="BJ112" s="80"/>
      <c r="BK112" s="80"/>
      <c r="BL112" s="80"/>
      <c r="BM112" s="80"/>
      <c r="BN112" s="80"/>
      <c r="BO112" s="80"/>
      <c r="BP112" s="80"/>
      <c r="BQ112" s="80"/>
      <c r="BR112" s="80"/>
      <c r="BS112" s="80"/>
      <c r="BT112" s="80"/>
      <c r="BU112" s="80"/>
      <c r="BV112" s="80"/>
      <c r="BW112" s="80"/>
      <c r="BX112" s="80"/>
      <c r="BY112" s="80"/>
      <c r="BZ112" s="80"/>
      <c r="CA112" s="80"/>
      <c r="CB112" s="80"/>
      <c r="CC112" s="80"/>
      <c r="CD112" s="80"/>
      <c r="CE112" s="80"/>
      <c r="CF112" s="80"/>
      <c r="CG112" s="80"/>
      <c r="CH112" s="80"/>
      <c r="CI112" s="80"/>
      <c r="CJ112" s="80"/>
      <c r="CK112" s="80"/>
      <c r="CL112" s="80"/>
      <c r="CM112" s="80"/>
      <c r="CN112" s="80"/>
      <c r="CO112" s="80"/>
      <c r="CP112" s="80"/>
      <c r="CQ112" s="80"/>
      <c r="CR112" s="80"/>
      <c r="CS112" s="80"/>
      <c r="CT112" s="80"/>
      <c r="CU112" s="80"/>
      <c r="CV112" s="80"/>
      <c r="CW112" s="80"/>
      <c r="CX112" s="80"/>
      <c r="CY112" s="80"/>
      <c r="CZ112" s="80"/>
      <c r="DA112" s="80"/>
      <c r="DB112" s="80"/>
      <c r="DC112" s="80"/>
      <c r="DD112" s="80"/>
      <c r="DE112" s="80"/>
      <c r="DF112" s="80"/>
      <c r="DG112" s="80"/>
      <c r="DH112" s="80"/>
      <c r="DI112" s="80"/>
      <c r="DJ112" s="80"/>
      <c r="DK112" s="80"/>
      <c r="DL112" s="80"/>
      <c r="DM112" s="80"/>
      <c r="DN112" s="80"/>
      <c r="DO112" s="80"/>
      <c r="DP112" s="80"/>
      <c r="DQ112" s="80"/>
      <c r="DR112" s="80"/>
      <c r="DS112" s="80"/>
      <c r="DT112" s="80"/>
      <c r="DU112" s="80"/>
      <c r="DV112" s="80"/>
      <c r="DW112" s="80"/>
      <c r="DX112" s="80"/>
      <c r="DY112" s="80"/>
      <c r="DZ112" s="80"/>
      <c r="EA112" s="80"/>
      <c r="EB112" s="80"/>
      <c r="EC112" s="80"/>
      <c r="ED112" s="80"/>
      <c r="EE112" s="80"/>
      <c r="EF112" s="80"/>
      <c r="EG112" s="80"/>
      <c r="EH112" s="80"/>
      <c r="EI112" s="80"/>
      <c r="EJ112" s="80"/>
      <c r="EK112" s="80"/>
      <c r="EL112" s="80"/>
      <c r="EM112" s="80"/>
      <c r="EN112" s="80"/>
      <c r="EO112" s="80"/>
      <c r="EP112" s="80"/>
      <c r="EQ112" s="80"/>
      <c r="ER112" s="80"/>
      <c r="ES112" s="80"/>
      <c r="ET112" s="80"/>
      <c r="EU112" s="80"/>
      <c r="EV112" s="80"/>
      <c r="EW112" s="80"/>
      <c r="EX112" s="80"/>
      <c r="EY112" s="80"/>
      <c r="EZ112" s="80"/>
      <c r="FA112" s="80"/>
      <c r="FB112" s="80"/>
      <c r="FC112" s="80"/>
      <c r="FD112" s="80"/>
      <c r="FE112" s="80"/>
      <c r="FF112" s="80"/>
      <c r="FG112" s="80"/>
      <c r="FH112" s="80"/>
      <c r="FI112" s="80"/>
      <c r="FJ112" s="80"/>
      <c r="FK112" s="80"/>
      <c r="FL112" s="80"/>
      <c r="FM112" s="80"/>
      <c r="FN112" s="80"/>
      <c r="FO112" s="80"/>
      <c r="FP112" s="80"/>
      <c r="FQ112" s="80"/>
      <c r="FR112" s="80"/>
      <c r="FS112" s="80"/>
      <c r="FT112" s="80"/>
      <c r="FU112" s="80"/>
      <c r="FV112" s="80"/>
      <c r="FW112" s="80"/>
      <c r="FX112" s="80"/>
      <c r="FY112" s="80"/>
      <c r="FZ112" s="80"/>
    </row>
    <row r="113" spans="8:182" ht="18" customHeight="1"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J113" s="80"/>
      <c r="AK113" s="80"/>
      <c r="AL113" s="80"/>
      <c r="AM113" s="80"/>
      <c r="AN113" s="80"/>
      <c r="AO113" s="80"/>
      <c r="AP113" s="80"/>
      <c r="AQ113" s="80"/>
      <c r="AR113" s="80"/>
      <c r="AS113" s="80"/>
      <c r="AT113" s="80"/>
      <c r="AU113" s="80"/>
      <c r="AV113" s="80"/>
      <c r="AW113" s="80"/>
      <c r="AX113" s="80"/>
      <c r="AY113" s="80"/>
      <c r="AZ113" s="80"/>
      <c r="BA113" s="80"/>
      <c r="BB113" s="80"/>
      <c r="BC113" s="80"/>
      <c r="BD113" s="80"/>
      <c r="BE113" s="80"/>
      <c r="BF113" s="80"/>
      <c r="BG113" s="80"/>
      <c r="BH113" s="80"/>
      <c r="BI113" s="80"/>
      <c r="BJ113" s="80"/>
      <c r="BK113" s="80"/>
      <c r="BL113" s="80"/>
      <c r="BM113" s="80"/>
      <c r="BN113" s="80"/>
      <c r="BO113" s="80"/>
      <c r="BP113" s="80"/>
      <c r="BQ113" s="80"/>
      <c r="BR113" s="80"/>
      <c r="BS113" s="80"/>
      <c r="BT113" s="80"/>
      <c r="BU113" s="80"/>
      <c r="BV113" s="80"/>
      <c r="BW113" s="80"/>
      <c r="BX113" s="80"/>
      <c r="BY113" s="80"/>
      <c r="BZ113" s="80"/>
      <c r="CA113" s="80"/>
      <c r="CB113" s="80"/>
      <c r="CC113" s="80"/>
      <c r="CD113" s="80"/>
      <c r="CE113" s="80"/>
      <c r="CF113" s="80"/>
      <c r="CG113" s="80"/>
      <c r="CH113" s="80"/>
      <c r="CI113" s="80"/>
      <c r="CJ113" s="80"/>
      <c r="CK113" s="80"/>
      <c r="CL113" s="80"/>
      <c r="CM113" s="80"/>
      <c r="CN113" s="80"/>
      <c r="CO113" s="80"/>
      <c r="CP113" s="80"/>
      <c r="CQ113" s="80"/>
      <c r="CR113" s="80"/>
      <c r="CS113" s="80"/>
      <c r="CT113" s="80"/>
      <c r="CU113" s="80"/>
      <c r="CV113" s="80"/>
      <c r="CW113" s="80"/>
      <c r="CX113" s="80"/>
      <c r="CY113" s="80"/>
      <c r="CZ113" s="80"/>
      <c r="DA113" s="80"/>
      <c r="DB113" s="80"/>
      <c r="DC113" s="80"/>
      <c r="DD113" s="80"/>
      <c r="DE113" s="80"/>
      <c r="DF113" s="80"/>
      <c r="DG113" s="80"/>
      <c r="DH113" s="80"/>
      <c r="DI113" s="80"/>
      <c r="DJ113" s="80"/>
      <c r="DK113" s="80"/>
      <c r="DL113" s="80"/>
      <c r="DM113" s="80"/>
      <c r="DN113" s="80"/>
      <c r="DO113" s="80"/>
      <c r="DP113" s="80"/>
      <c r="DQ113" s="80"/>
      <c r="DR113" s="80"/>
      <c r="DS113" s="80"/>
      <c r="DT113" s="80"/>
      <c r="DU113" s="80"/>
      <c r="DV113" s="80"/>
      <c r="DW113" s="80"/>
      <c r="DX113" s="80"/>
      <c r="DY113" s="80"/>
      <c r="DZ113" s="80"/>
      <c r="EA113" s="80"/>
      <c r="EB113" s="80"/>
      <c r="EC113" s="80"/>
      <c r="ED113" s="80"/>
      <c r="EE113" s="80"/>
      <c r="EF113" s="80"/>
      <c r="EG113" s="80"/>
      <c r="EH113" s="80"/>
      <c r="EI113" s="80"/>
      <c r="EJ113" s="80"/>
      <c r="EK113" s="80"/>
      <c r="EL113" s="80"/>
      <c r="EM113" s="80"/>
      <c r="EN113" s="80"/>
      <c r="EO113" s="80"/>
      <c r="EP113" s="80"/>
      <c r="EQ113" s="80"/>
      <c r="ER113" s="80"/>
      <c r="ES113" s="80"/>
      <c r="ET113" s="80"/>
      <c r="EU113" s="80"/>
      <c r="EV113" s="80"/>
      <c r="EW113" s="80"/>
      <c r="EX113" s="80"/>
      <c r="EY113" s="80"/>
      <c r="EZ113" s="80"/>
      <c r="FA113" s="80"/>
      <c r="FB113" s="80"/>
      <c r="FC113" s="80"/>
      <c r="FD113" s="80"/>
      <c r="FE113" s="80"/>
      <c r="FF113" s="80"/>
      <c r="FG113" s="80"/>
      <c r="FH113" s="80"/>
      <c r="FI113" s="80"/>
      <c r="FJ113" s="80"/>
      <c r="FK113" s="80"/>
      <c r="FL113" s="80"/>
      <c r="FM113" s="80"/>
      <c r="FN113" s="80"/>
      <c r="FO113" s="80"/>
      <c r="FP113" s="80"/>
      <c r="FQ113" s="80"/>
      <c r="FR113" s="80"/>
      <c r="FS113" s="80"/>
      <c r="FT113" s="80"/>
      <c r="FU113" s="80"/>
      <c r="FV113" s="80"/>
      <c r="FW113" s="80"/>
      <c r="FX113" s="80"/>
      <c r="FY113" s="80"/>
      <c r="FZ113" s="80"/>
    </row>
    <row r="114" spans="8:182" ht="18" customHeight="1"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  <c r="AJ114" s="80"/>
      <c r="AK114" s="80"/>
      <c r="AL114" s="80"/>
      <c r="AM114" s="80"/>
      <c r="AN114" s="80"/>
      <c r="AO114" s="80"/>
      <c r="AP114" s="80"/>
      <c r="AQ114" s="80"/>
      <c r="AR114" s="80"/>
      <c r="AS114" s="80"/>
      <c r="AT114" s="80"/>
      <c r="AU114" s="80"/>
      <c r="AV114" s="80"/>
      <c r="AW114" s="80"/>
      <c r="AX114" s="80"/>
      <c r="AY114" s="80"/>
      <c r="AZ114" s="80"/>
      <c r="BA114" s="80"/>
      <c r="BB114" s="80"/>
      <c r="BC114" s="80"/>
      <c r="BD114" s="80"/>
      <c r="BE114" s="80"/>
      <c r="BF114" s="80"/>
      <c r="BG114" s="80"/>
      <c r="BH114" s="80"/>
      <c r="BI114" s="80"/>
      <c r="BJ114" s="80"/>
      <c r="BK114" s="80"/>
      <c r="BL114" s="80"/>
      <c r="BM114" s="80"/>
      <c r="BN114" s="80"/>
      <c r="BO114" s="80"/>
      <c r="BP114" s="80"/>
      <c r="BQ114" s="80"/>
      <c r="BR114" s="80"/>
      <c r="BS114" s="80"/>
      <c r="BT114" s="80"/>
      <c r="BU114" s="80"/>
      <c r="BV114" s="80"/>
      <c r="BW114" s="80"/>
      <c r="BX114" s="80"/>
      <c r="BY114" s="80"/>
      <c r="BZ114" s="80"/>
      <c r="CA114" s="80"/>
      <c r="CB114" s="80"/>
      <c r="CC114" s="80"/>
      <c r="CD114" s="80"/>
      <c r="CE114" s="80"/>
      <c r="CF114" s="80"/>
      <c r="CG114" s="80"/>
      <c r="CH114" s="80"/>
      <c r="CI114" s="80"/>
      <c r="CJ114" s="80"/>
      <c r="CK114" s="80"/>
      <c r="CL114" s="80"/>
      <c r="CM114" s="80"/>
      <c r="CN114" s="80"/>
      <c r="CO114" s="80"/>
      <c r="CP114" s="80"/>
      <c r="CQ114" s="80"/>
      <c r="CR114" s="80"/>
      <c r="CS114" s="80"/>
      <c r="CT114" s="80"/>
      <c r="CU114" s="80"/>
      <c r="CV114" s="80"/>
      <c r="CW114" s="80"/>
      <c r="CX114" s="80"/>
      <c r="CY114" s="80"/>
      <c r="CZ114" s="80"/>
      <c r="DA114" s="80"/>
      <c r="DB114" s="80"/>
      <c r="DC114" s="80"/>
      <c r="DD114" s="80"/>
      <c r="DE114" s="80"/>
      <c r="DF114" s="80"/>
      <c r="DG114" s="80"/>
      <c r="DH114" s="80"/>
      <c r="DI114" s="80"/>
      <c r="DJ114" s="80"/>
      <c r="DK114" s="80"/>
      <c r="DL114" s="80"/>
      <c r="DM114" s="80"/>
      <c r="DN114" s="80"/>
      <c r="DO114" s="80"/>
      <c r="DP114" s="80"/>
      <c r="DQ114" s="80"/>
      <c r="DR114" s="80"/>
      <c r="DS114" s="80"/>
      <c r="DT114" s="80"/>
      <c r="DU114" s="80"/>
      <c r="DV114" s="80"/>
      <c r="DW114" s="80"/>
      <c r="DX114" s="80"/>
      <c r="DY114" s="80"/>
      <c r="DZ114" s="80"/>
      <c r="EA114" s="80"/>
      <c r="EB114" s="80"/>
      <c r="EC114" s="80"/>
      <c r="ED114" s="80"/>
      <c r="EE114" s="80"/>
      <c r="EF114" s="80"/>
      <c r="EG114" s="80"/>
      <c r="EH114" s="80"/>
      <c r="EI114" s="80"/>
      <c r="EJ114" s="80"/>
      <c r="EK114" s="80"/>
      <c r="EL114" s="80"/>
      <c r="EM114" s="80"/>
      <c r="EN114" s="80"/>
      <c r="EO114" s="80"/>
      <c r="EP114" s="80"/>
      <c r="EQ114" s="80"/>
      <c r="ER114" s="80"/>
      <c r="ES114" s="80"/>
      <c r="ET114" s="80"/>
      <c r="EU114" s="80"/>
      <c r="EV114" s="80"/>
      <c r="EW114" s="80"/>
      <c r="EX114" s="80"/>
      <c r="EY114" s="80"/>
      <c r="EZ114" s="80"/>
      <c r="FA114" s="80"/>
      <c r="FB114" s="80"/>
      <c r="FC114" s="80"/>
      <c r="FD114" s="80"/>
      <c r="FE114" s="80"/>
      <c r="FF114" s="80"/>
      <c r="FG114" s="80"/>
      <c r="FH114" s="80"/>
      <c r="FI114" s="80"/>
      <c r="FJ114" s="80"/>
      <c r="FK114" s="80"/>
      <c r="FL114" s="80"/>
      <c r="FM114" s="80"/>
      <c r="FN114" s="80"/>
      <c r="FO114" s="80"/>
      <c r="FP114" s="80"/>
      <c r="FQ114" s="80"/>
      <c r="FR114" s="80"/>
      <c r="FS114" s="80"/>
      <c r="FT114" s="80"/>
      <c r="FU114" s="80"/>
      <c r="FV114" s="80"/>
      <c r="FW114" s="80"/>
      <c r="FX114" s="80"/>
      <c r="FY114" s="80"/>
      <c r="FZ114" s="80"/>
    </row>
    <row r="115" spans="8:182" ht="18" customHeight="1"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  <c r="AJ115" s="80"/>
      <c r="AK115" s="80"/>
      <c r="AL115" s="80"/>
      <c r="AM115" s="80"/>
      <c r="AN115" s="80"/>
      <c r="AO115" s="80"/>
      <c r="AP115" s="80"/>
      <c r="AQ115" s="80"/>
      <c r="AR115" s="80"/>
      <c r="AS115" s="80"/>
      <c r="AT115" s="80"/>
      <c r="AU115" s="80"/>
      <c r="AV115" s="80"/>
      <c r="AW115" s="80"/>
      <c r="AX115" s="80"/>
      <c r="AY115" s="80"/>
      <c r="AZ115" s="80"/>
      <c r="BA115" s="80"/>
      <c r="BB115" s="80"/>
      <c r="BC115" s="80"/>
      <c r="BD115" s="80"/>
      <c r="BE115" s="80"/>
      <c r="BF115" s="80"/>
      <c r="BG115" s="80"/>
      <c r="BH115" s="80"/>
      <c r="BI115" s="80"/>
      <c r="BJ115" s="80"/>
      <c r="BK115" s="80"/>
      <c r="BL115" s="80"/>
      <c r="BM115" s="80"/>
      <c r="BN115" s="80"/>
      <c r="BO115" s="80"/>
      <c r="BP115" s="80"/>
      <c r="BQ115" s="80"/>
      <c r="BR115" s="80"/>
      <c r="BS115" s="80"/>
      <c r="BT115" s="80"/>
      <c r="BU115" s="80"/>
      <c r="BV115" s="80"/>
      <c r="BW115" s="80"/>
      <c r="BX115" s="80"/>
      <c r="BY115" s="80"/>
      <c r="BZ115" s="80"/>
      <c r="CA115" s="80"/>
      <c r="CB115" s="80"/>
      <c r="CC115" s="80"/>
      <c r="CD115" s="80"/>
      <c r="CE115" s="80"/>
      <c r="CF115" s="80"/>
      <c r="CG115" s="80"/>
      <c r="CH115" s="80"/>
      <c r="CI115" s="80"/>
      <c r="CJ115" s="80"/>
      <c r="CK115" s="80"/>
      <c r="CL115" s="80"/>
      <c r="CM115" s="80"/>
      <c r="CN115" s="80"/>
      <c r="CO115" s="80"/>
      <c r="CP115" s="80"/>
      <c r="CQ115" s="80"/>
      <c r="CR115" s="80"/>
      <c r="CS115" s="80"/>
      <c r="CT115" s="80"/>
      <c r="CU115" s="80"/>
      <c r="CV115" s="80"/>
      <c r="CW115" s="80"/>
      <c r="CX115" s="80"/>
      <c r="CY115" s="80"/>
      <c r="CZ115" s="80"/>
      <c r="DA115" s="80"/>
      <c r="DB115" s="80"/>
      <c r="DC115" s="80"/>
      <c r="DD115" s="80"/>
      <c r="DE115" s="80"/>
      <c r="DF115" s="80"/>
      <c r="DG115" s="80"/>
      <c r="DH115" s="80"/>
      <c r="DI115" s="80"/>
      <c r="DJ115" s="80"/>
      <c r="DK115" s="80"/>
      <c r="DL115" s="80"/>
      <c r="DM115" s="80"/>
      <c r="DN115" s="80"/>
      <c r="DO115" s="80"/>
      <c r="DP115" s="80"/>
      <c r="DQ115" s="80"/>
      <c r="DR115" s="80"/>
      <c r="DS115" s="80"/>
      <c r="DT115" s="80"/>
      <c r="DU115" s="80"/>
      <c r="DV115" s="80"/>
      <c r="DW115" s="80"/>
      <c r="DX115" s="80"/>
      <c r="DY115" s="80"/>
      <c r="DZ115" s="80"/>
      <c r="EA115" s="80"/>
      <c r="EB115" s="80"/>
      <c r="EC115" s="80"/>
      <c r="ED115" s="80"/>
      <c r="EE115" s="80"/>
      <c r="EF115" s="80"/>
      <c r="EG115" s="80"/>
      <c r="EH115" s="80"/>
      <c r="EI115" s="80"/>
      <c r="EJ115" s="80"/>
      <c r="EK115" s="80"/>
      <c r="EL115" s="80"/>
      <c r="EM115" s="80"/>
      <c r="EN115" s="80"/>
      <c r="EO115" s="80"/>
      <c r="EP115" s="80"/>
      <c r="EQ115" s="80"/>
      <c r="ER115" s="80"/>
      <c r="ES115" s="80"/>
      <c r="ET115" s="80"/>
      <c r="EU115" s="80"/>
      <c r="EV115" s="80"/>
      <c r="EW115" s="80"/>
      <c r="EX115" s="80"/>
      <c r="EY115" s="80"/>
      <c r="EZ115" s="80"/>
      <c r="FA115" s="80"/>
      <c r="FB115" s="80"/>
      <c r="FC115" s="80"/>
      <c r="FD115" s="80"/>
      <c r="FE115" s="80"/>
      <c r="FF115" s="80"/>
      <c r="FG115" s="80"/>
      <c r="FH115" s="80"/>
      <c r="FI115" s="80"/>
      <c r="FJ115" s="80"/>
      <c r="FK115" s="80"/>
      <c r="FL115" s="80"/>
      <c r="FM115" s="80"/>
      <c r="FN115" s="80"/>
      <c r="FO115" s="80"/>
      <c r="FP115" s="80"/>
      <c r="FQ115" s="80"/>
      <c r="FR115" s="80"/>
      <c r="FS115" s="80"/>
      <c r="FT115" s="80"/>
      <c r="FU115" s="80"/>
      <c r="FV115" s="80"/>
      <c r="FW115" s="80"/>
      <c r="FX115" s="80"/>
      <c r="FY115" s="80"/>
      <c r="FZ115" s="80"/>
    </row>
    <row r="116" spans="8:182" ht="18" customHeight="1"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  <c r="AJ116" s="80"/>
      <c r="AK116" s="80"/>
      <c r="AL116" s="80"/>
      <c r="AM116" s="80"/>
      <c r="AN116" s="80"/>
      <c r="AO116" s="80"/>
      <c r="AP116" s="80"/>
      <c r="AQ116" s="80"/>
      <c r="AR116" s="80"/>
      <c r="AS116" s="80"/>
      <c r="AT116" s="80"/>
      <c r="AU116" s="80"/>
      <c r="AV116" s="80"/>
      <c r="AW116" s="80"/>
      <c r="AX116" s="80"/>
      <c r="AY116" s="80"/>
      <c r="AZ116" s="80"/>
      <c r="BA116" s="80"/>
      <c r="BB116" s="80"/>
      <c r="BC116" s="80"/>
      <c r="BD116" s="80"/>
      <c r="BE116" s="80"/>
      <c r="BF116" s="80"/>
      <c r="BG116" s="80"/>
      <c r="BH116" s="80"/>
      <c r="BI116" s="80"/>
      <c r="BJ116" s="80"/>
      <c r="BK116" s="80"/>
      <c r="BL116" s="80"/>
      <c r="BM116" s="80"/>
      <c r="BN116" s="80"/>
      <c r="BO116" s="80"/>
      <c r="BP116" s="80"/>
      <c r="BQ116" s="80"/>
      <c r="BR116" s="80"/>
      <c r="BS116" s="80"/>
      <c r="BT116" s="80"/>
      <c r="BU116" s="80"/>
      <c r="BV116" s="80"/>
      <c r="BW116" s="80"/>
      <c r="BX116" s="80"/>
      <c r="BY116" s="80"/>
      <c r="BZ116" s="80"/>
      <c r="CA116" s="80"/>
      <c r="CB116" s="80"/>
      <c r="CC116" s="80"/>
      <c r="CD116" s="80"/>
      <c r="CE116" s="80"/>
      <c r="CF116" s="80"/>
      <c r="CG116" s="80"/>
      <c r="CH116" s="80"/>
      <c r="CI116" s="80"/>
      <c r="CJ116" s="80"/>
      <c r="CK116" s="80"/>
      <c r="CL116" s="80"/>
      <c r="CM116" s="80"/>
      <c r="CN116" s="80"/>
      <c r="CO116" s="80"/>
      <c r="CP116" s="80"/>
      <c r="CQ116" s="80"/>
      <c r="CR116" s="80"/>
      <c r="CS116" s="80"/>
      <c r="CT116" s="80"/>
      <c r="CU116" s="80"/>
      <c r="CV116" s="80"/>
      <c r="CW116" s="80"/>
      <c r="CX116" s="80"/>
      <c r="CY116" s="80"/>
      <c r="CZ116" s="80"/>
      <c r="DA116" s="80"/>
      <c r="DB116" s="80"/>
      <c r="DC116" s="80"/>
      <c r="DD116" s="80"/>
      <c r="DE116" s="80"/>
      <c r="DF116" s="80"/>
      <c r="DG116" s="80"/>
      <c r="DH116" s="80"/>
      <c r="DI116" s="80"/>
      <c r="DJ116" s="80"/>
      <c r="DK116" s="80"/>
      <c r="DL116" s="80"/>
      <c r="DM116" s="80"/>
      <c r="DN116" s="80"/>
      <c r="DO116" s="80"/>
      <c r="DP116" s="80"/>
      <c r="DQ116" s="80"/>
      <c r="DR116" s="80"/>
      <c r="DS116" s="80"/>
      <c r="DT116" s="80"/>
      <c r="DU116" s="80"/>
      <c r="DV116" s="80"/>
      <c r="DW116" s="80"/>
      <c r="DX116" s="80"/>
      <c r="DY116" s="80"/>
      <c r="DZ116" s="80"/>
      <c r="EA116" s="80"/>
      <c r="EB116" s="80"/>
      <c r="EC116" s="80"/>
      <c r="ED116" s="80"/>
      <c r="EE116" s="80"/>
      <c r="EF116" s="80"/>
      <c r="EG116" s="80"/>
      <c r="EH116" s="80"/>
      <c r="EI116" s="80"/>
      <c r="EJ116" s="80"/>
      <c r="EK116" s="80"/>
      <c r="EL116" s="80"/>
      <c r="EM116" s="80"/>
      <c r="EN116" s="80"/>
      <c r="EO116" s="80"/>
      <c r="EP116" s="80"/>
      <c r="EQ116" s="80"/>
      <c r="ER116" s="80"/>
      <c r="ES116" s="80"/>
      <c r="ET116" s="80"/>
      <c r="EU116" s="80"/>
      <c r="EV116" s="80"/>
      <c r="EW116" s="80"/>
      <c r="EX116" s="80"/>
      <c r="EY116" s="80"/>
      <c r="EZ116" s="80"/>
      <c r="FA116" s="80"/>
      <c r="FB116" s="80"/>
      <c r="FC116" s="80"/>
      <c r="FD116" s="80"/>
      <c r="FE116" s="80"/>
      <c r="FF116" s="80"/>
      <c r="FG116" s="80"/>
      <c r="FH116" s="80"/>
      <c r="FI116" s="80"/>
      <c r="FJ116" s="80"/>
      <c r="FK116" s="80"/>
      <c r="FL116" s="80"/>
      <c r="FM116" s="80"/>
      <c r="FN116" s="80"/>
      <c r="FO116" s="80"/>
      <c r="FP116" s="80"/>
      <c r="FQ116" s="80"/>
      <c r="FR116" s="80"/>
      <c r="FS116" s="80"/>
      <c r="FT116" s="80"/>
      <c r="FU116" s="80"/>
      <c r="FV116" s="80"/>
      <c r="FW116" s="80"/>
      <c r="FX116" s="80"/>
      <c r="FY116" s="80"/>
      <c r="FZ116" s="80"/>
    </row>
    <row r="117" spans="8:182" ht="18" customHeight="1"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80"/>
      <c r="AK117" s="80"/>
      <c r="AL117" s="80"/>
      <c r="AM117" s="80"/>
      <c r="AN117" s="80"/>
      <c r="AO117" s="80"/>
      <c r="AP117" s="80"/>
      <c r="AQ117" s="80"/>
      <c r="AR117" s="80"/>
      <c r="AS117" s="80"/>
      <c r="AT117" s="80"/>
      <c r="AU117" s="80"/>
      <c r="AV117" s="80"/>
      <c r="AW117" s="80"/>
      <c r="AX117" s="80"/>
      <c r="AY117" s="80"/>
      <c r="AZ117" s="80"/>
      <c r="BA117" s="80"/>
      <c r="BB117" s="80"/>
      <c r="BC117" s="80"/>
      <c r="BD117" s="80"/>
      <c r="BE117" s="80"/>
      <c r="BF117" s="80"/>
      <c r="BG117" s="80"/>
      <c r="BH117" s="80"/>
      <c r="BI117" s="80"/>
      <c r="BJ117" s="80"/>
      <c r="BK117" s="80"/>
      <c r="BL117" s="80"/>
      <c r="BM117" s="80"/>
      <c r="BN117" s="80"/>
      <c r="BO117" s="80"/>
      <c r="BP117" s="80"/>
      <c r="BQ117" s="80"/>
      <c r="BR117" s="80"/>
      <c r="BS117" s="80"/>
      <c r="BT117" s="80"/>
      <c r="BU117" s="80"/>
      <c r="BV117" s="80"/>
      <c r="BW117" s="80"/>
      <c r="BX117" s="80"/>
      <c r="BY117" s="80"/>
      <c r="BZ117" s="80"/>
      <c r="CA117" s="80"/>
      <c r="CB117" s="80"/>
      <c r="CC117" s="80"/>
      <c r="CD117" s="80"/>
      <c r="CE117" s="80"/>
      <c r="CF117" s="80"/>
      <c r="CG117" s="80"/>
      <c r="CH117" s="80"/>
      <c r="CI117" s="80"/>
      <c r="CJ117" s="80"/>
      <c r="CK117" s="80"/>
      <c r="CL117" s="80"/>
      <c r="CM117" s="80"/>
      <c r="CN117" s="80"/>
      <c r="CO117" s="80"/>
      <c r="CP117" s="80"/>
      <c r="CQ117" s="80"/>
      <c r="CR117" s="80"/>
      <c r="CS117" s="80"/>
      <c r="CT117" s="80"/>
      <c r="CU117" s="80"/>
      <c r="CV117" s="80"/>
      <c r="CW117" s="80"/>
      <c r="CX117" s="80"/>
      <c r="CY117" s="80"/>
      <c r="CZ117" s="80"/>
      <c r="DA117" s="80"/>
      <c r="DB117" s="80"/>
      <c r="DC117" s="80"/>
      <c r="DD117" s="80"/>
      <c r="DE117" s="80"/>
      <c r="DF117" s="80"/>
      <c r="DG117" s="80"/>
      <c r="DH117" s="80"/>
      <c r="DI117" s="80"/>
      <c r="DJ117" s="80"/>
      <c r="DK117" s="80"/>
      <c r="DL117" s="80"/>
      <c r="DM117" s="80"/>
      <c r="DN117" s="80"/>
      <c r="DO117" s="80"/>
      <c r="DP117" s="80"/>
      <c r="DQ117" s="80"/>
      <c r="DR117" s="80"/>
      <c r="DS117" s="80"/>
      <c r="DT117" s="80"/>
      <c r="DU117" s="80"/>
      <c r="DV117" s="80"/>
      <c r="DW117" s="80"/>
      <c r="DX117" s="80"/>
      <c r="DY117" s="80"/>
      <c r="DZ117" s="80"/>
      <c r="EA117" s="80"/>
      <c r="EB117" s="80"/>
      <c r="EC117" s="80"/>
      <c r="ED117" s="80"/>
      <c r="EE117" s="80"/>
      <c r="EF117" s="80"/>
      <c r="EG117" s="80"/>
      <c r="EH117" s="80"/>
      <c r="EI117" s="80"/>
      <c r="EJ117" s="80"/>
      <c r="EK117" s="80"/>
      <c r="EL117" s="80"/>
      <c r="EM117" s="80"/>
      <c r="EN117" s="80"/>
      <c r="EO117" s="80"/>
      <c r="EP117" s="80"/>
      <c r="EQ117" s="80"/>
      <c r="ER117" s="80"/>
      <c r="ES117" s="80"/>
      <c r="ET117" s="80"/>
      <c r="EU117" s="80"/>
      <c r="EV117" s="80"/>
      <c r="EW117" s="80"/>
      <c r="EX117" s="80"/>
      <c r="EY117" s="80"/>
      <c r="EZ117" s="80"/>
      <c r="FA117" s="80"/>
      <c r="FB117" s="80"/>
      <c r="FC117" s="80"/>
      <c r="FD117" s="80"/>
      <c r="FE117" s="80"/>
      <c r="FF117" s="80"/>
      <c r="FG117" s="80"/>
      <c r="FH117" s="80"/>
      <c r="FI117" s="80"/>
      <c r="FJ117" s="80"/>
      <c r="FK117" s="80"/>
      <c r="FL117" s="80"/>
      <c r="FM117" s="80"/>
      <c r="FN117" s="80"/>
      <c r="FO117" s="80"/>
      <c r="FP117" s="80"/>
      <c r="FQ117" s="80"/>
      <c r="FR117" s="80"/>
      <c r="FS117" s="80"/>
      <c r="FT117" s="80"/>
      <c r="FU117" s="80"/>
      <c r="FV117" s="80"/>
      <c r="FW117" s="80"/>
      <c r="FX117" s="80"/>
      <c r="FY117" s="80"/>
      <c r="FZ117" s="80"/>
    </row>
    <row r="118" spans="8:182" ht="18" customHeight="1"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  <c r="AJ118" s="80"/>
      <c r="AK118" s="80"/>
      <c r="AL118" s="80"/>
      <c r="AM118" s="80"/>
      <c r="AN118" s="80"/>
      <c r="AO118" s="80"/>
      <c r="AP118" s="80"/>
      <c r="AQ118" s="80"/>
      <c r="AR118" s="80"/>
      <c r="AS118" s="80"/>
      <c r="AT118" s="80"/>
      <c r="AU118" s="80"/>
      <c r="AV118" s="80"/>
      <c r="AW118" s="80"/>
      <c r="AX118" s="80"/>
      <c r="AY118" s="80"/>
      <c r="AZ118" s="80"/>
      <c r="BA118" s="80"/>
      <c r="BB118" s="80"/>
      <c r="BC118" s="80"/>
      <c r="BD118" s="80"/>
      <c r="BE118" s="80"/>
      <c r="BF118" s="80"/>
      <c r="BG118" s="80"/>
      <c r="BH118" s="80"/>
      <c r="BI118" s="80"/>
      <c r="BJ118" s="80"/>
      <c r="BK118" s="80"/>
      <c r="BL118" s="80"/>
      <c r="BM118" s="80"/>
      <c r="BN118" s="80"/>
      <c r="BO118" s="80"/>
      <c r="BP118" s="80"/>
      <c r="BQ118" s="80"/>
      <c r="BR118" s="80"/>
      <c r="BS118" s="80"/>
      <c r="BT118" s="80"/>
      <c r="BU118" s="80"/>
      <c r="BV118" s="80"/>
      <c r="BW118" s="80"/>
      <c r="BX118" s="80"/>
      <c r="BY118" s="80"/>
      <c r="BZ118" s="80"/>
      <c r="CA118" s="80"/>
      <c r="CB118" s="80"/>
      <c r="CC118" s="80"/>
      <c r="CD118" s="80"/>
      <c r="CE118" s="80"/>
      <c r="CF118" s="80"/>
      <c r="CG118" s="80"/>
      <c r="CH118" s="80"/>
      <c r="CI118" s="80"/>
      <c r="CJ118" s="80"/>
      <c r="CK118" s="80"/>
      <c r="CL118" s="80"/>
      <c r="CM118" s="80"/>
      <c r="CN118" s="80"/>
      <c r="CO118" s="80"/>
      <c r="CP118" s="80"/>
      <c r="CQ118" s="80"/>
      <c r="CR118" s="80"/>
      <c r="CS118" s="80"/>
      <c r="CT118" s="80"/>
      <c r="CU118" s="80"/>
      <c r="CV118" s="80"/>
      <c r="CW118" s="80"/>
      <c r="CX118" s="80"/>
      <c r="CY118" s="80"/>
      <c r="CZ118" s="80"/>
      <c r="DA118" s="80"/>
      <c r="DB118" s="80"/>
      <c r="DC118" s="80"/>
      <c r="DD118" s="80"/>
      <c r="DE118" s="80"/>
      <c r="DF118" s="80"/>
      <c r="DG118" s="80"/>
      <c r="DH118" s="80"/>
      <c r="DI118" s="80"/>
      <c r="DJ118" s="80"/>
      <c r="DK118" s="80"/>
      <c r="DL118" s="80"/>
      <c r="DM118" s="80"/>
      <c r="DN118" s="80"/>
      <c r="DO118" s="80"/>
      <c r="DP118" s="80"/>
      <c r="DQ118" s="80"/>
      <c r="DR118" s="80"/>
      <c r="DS118" s="80"/>
      <c r="DT118" s="80"/>
      <c r="DU118" s="80"/>
      <c r="DV118" s="80"/>
      <c r="DW118" s="80"/>
      <c r="DX118" s="80"/>
      <c r="DY118" s="80"/>
      <c r="DZ118" s="80"/>
      <c r="EA118" s="80"/>
      <c r="EB118" s="80"/>
      <c r="EC118" s="80"/>
      <c r="ED118" s="80"/>
      <c r="EE118" s="80"/>
      <c r="EF118" s="80"/>
      <c r="EG118" s="80"/>
      <c r="EH118" s="80"/>
      <c r="EI118" s="80"/>
      <c r="EJ118" s="80"/>
      <c r="EK118" s="80"/>
      <c r="EL118" s="80"/>
      <c r="EM118" s="80"/>
      <c r="EN118" s="80"/>
      <c r="EO118" s="80"/>
      <c r="EP118" s="80"/>
      <c r="EQ118" s="80"/>
      <c r="ER118" s="80"/>
      <c r="ES118" s="80"/>
      <c r="ET118" s="80"/>
      <c r="EU118" s="80"/>
      <c r="EV118" s="80"/>
      <c r="EW118" s="80"/>
      <c r="EX118" s="80"/>
      <c r="EY118" s="80"/>
      <c r="EZ118" s="80"/>
      <c r="FA118" s="80"/>
      <c r="FB118" s="80"/>
      <c r="FC118" s="80"/>
      <c r="FD118" s="80"/>
      <c r="FE118" s="80"/>
      <c r="FF118" s="80"/>
      <c r="FG118" s="80"/>
      <c r="FH118" s="80"/>
      <c r="FI118" s="80"/>
      <c r="FJ118" s="80"/>
      <c r="FK118" s="80"/>
      <c r="FL118" s="80"/>
      <c r="FM118" s="80"/>
      <c r="FN118" s="80"/>
      <c r="FO118" s="80"/>
      <c r="FP118" s="80"/>
      <c r="FQ118" s="80"/>
      <c r="FR118" s="80"/>
      <c r="FS118" s="80"/>
      <c r="FT118" s="80"/>
      <c r="FU118" s="80"/>
      <c r="FV118" s="80"/>
      <c r="FW118" s="80"/>
      <c r="FX118" s="80"/>
      <c r="FY118" s="80"/>
      <c r="FZ118" s="80"/>
    </row>
    <row r="119" spans="8:182" ht="18" customHeight="1"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  <c r="AJ119" s="80"/>
      <c r="AK119" s="80"/>
      <c r="AL119" s="80"/>
      <c r="AM119" s="80"/>
      <c r="AN119" s="80"/>
      <c r="AO119" s="80"/>
      <c r="AP119" s="80"/>
      <c r="AQ119" s="80"/>
      <c r="AR119" s="80"/>
      <c r="AS119" s="80"/>
      <c r="AT119" s="80"/>
      <c r="AU119" s="80"/>
      <c r="AV119" s="80"/>
      <c r="AW119" s="80"/>
      <c r="AX119" s="80"/>
      <c r="AY119" s="80"/>
      <c r="AZ119" s="80"/>
      <c r="BA119" s="80"/>
      <c r="BB119" s="80"/>
      <c r="BC119" s="80"/>
      <c r="BD119" s="80"/>
      <c r="BE119" s="80"/>
      <c r="BF119" s="80"/>
      <c r="BG119" s="80"/>
      <c r="BH119" s="80"/>
      <c r="BI119" s="80"/>
      <c r="BJ119" s="80"/>
      <c r="BK119" s="80"/>
      <c r="BL119" s="80"/>
      <c r="BM119" s="80"/>
      <c r="BN119" s="80"/>
      <c r="BO119" s="80"/>
      <c r="BP119" s="80"/>
      <c r="BQ119" s="80"/>
      <c r="BR119" s="80"/>
      <c r="BS119" s="80"/>
      <c r="BT119" s="80"/>
      <c r="BU119" s="80"/>
      <c r="BV119" s="80"/>
      <c r="BW119" s="80"/>
      <c r="BX119" s="80"/>
      <c r="BY119" s="80"/>
      <c r="BZ119" s="80"/>
      <c r="CA119" s="80"/>
      <c r="CB119" s="80"/>
      <c r="CC119" s="80"/>
      <c r="CD119" s="80"/>
      <c r="CE119" s="80"/>
      <c r="CF119" s="80"/>
      <c r="CG119" s="80"/>
      <c r="CH119" s="80"/>
      <c r="CI119" s="80"/>
      <c r="CJ119" s="80"/>
      <c r="CK119" s="80"/>
      <c r="CL119" s="80"/>
      <c r="CM119" s="80"/>
      <c r="CN119" s="80"/>
      <c r="CO119" s="80"/>
      <c r="CP119" s="80"/>
      <c r="CQ119" s="80"/>
      <c r="CR119" s="80"/>
      <c r="CS119" s="80"/>
      <c r="CT119" s="80"/>
      <c r="CU119" s="80"/>
      <c r="CV119" s="80"/>
      <c r="CW119" s="80"/>
      <c r="CX119" s="80"/>
      <c r="CY119" s="80"/>
      <c r="CZ119" s="80"/>
      <c r="DA119" s="80"/>
      <c r="DB119" s="80"/>
      <c r="DC119" s="80"/>
      <c r="DD119" s="80"/>
      <c r="DE119" s="80"/>
      <c r="DF119" s="80"/>
      <c r="DG119" s="80"/>
      <c r="DH119" s="80"/>
      <c r="DI119" s="80"/>
      <c r="DJ119" s="80"/>
      <c r="DK119" s="80"/>
      <c r="DL119" s="80"/>
      <c r="DM119" s="80"/>
      <c r="DN119" s="80"/>
      <c r="DO119" s="80"/>
      <c r="DP119" s="80"/>
      <c r="DQ119" s="80"/>
      <c r="DR119" s="80"/>
      <c r="DS119" s="80"/>
      <c r="DT119" s="80"/>
      <c r="DU119" s="80"/>
      <c r="DV119" s="80"/>
      <c r="DW119" s="80"/>
      <c r="DX119" s="80"/>
      <c r="DY119" s="80"/>
      <c r="DZ119" s="80"/>
      <c r="EA119" s="80"/>
      <c r="EB119" s="80"/>
      <c r="EC119" s="80"/>
      <c r="ED119" s="80"/>
      <c r="EE119" s="80"/>
      <c r="EF119" s="80"/>
      <c r="EG119" s="80"/>
      <c r="EH119" s="80"/>
      <c r="EI119" s="80"/>
      <c r="EJ119" s="80"/>
      <c r="EK119" s="80"/>
      <c r="EL119" s="80"/>
      <c r="EM119" s="80"/>
      <c r="EN119" s="80"/>
      <c r="EO119" s="80"/>
      <c r="EP119" s="80"/>
      <c r="EQ119" s="80"/>
      <c r="ER119" s="80"/>
      <c r="ES119" s="80"/>
      <c r="ET119" s="80"/>
      <c r="EU119" s="80"/>
      <c r="EV119" s="80"/>
      <c r="EW119" s="80"/>
      <c r="EX119" s="80"/>
      <c r="EY119" s="80"/>
      <c r="EZ119" s="80"/>
      <c r="FA119" s="80"/>
      <c r="FB119" s="80"/>
      <c r="FC119" s="80"/>
      <c r="FD119" s="80"/>
      <c r="FE119" s="80"/>
      <c r="FF119" s="80"/>
      <c r="FG119" s="80"/>
      <c r="FH119" s="80"/>
      <c r="FI119" s="80"/>
      <c r="FJ119" s="80"/>
      <c r="FK119" s="80"/>
      <c r="FL119" s="80"/>
      <c r="FM119" s="80"/>
      <c r="FN119" s="80"/>
      <c r="FO119" s="80"/>
      <c r="FP119" s="80"/>
      <c r="FQ119" s="80"/>
      <c r="FR119" s="80"/>
      <c r="FS119" s="80"/>
      <c r="FT119" s="80"/>
      <c r="FU119" s="80"/>
      <c r="FV119" s="80"/>
      <c r="FW119" s="80"/>
      <c r="FX119" s="80"/>
      <c r="FY119" s="80"/>
      <c r="FZ119" s="80"/>
    </row>
    <row r="120" spans="8:182" ht="18" customHeight="1"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  <c r="AJ120" s="80"/>
      <c r="AK120" s="80"/>
      <c r="AL120" s="80"/>
      <c r="AM120" s="80"/>
      <c r="AN120" s="80"/>
      <c r="AO120" s="80"/>
      <c r="AP120" s="80"/>
      <c r="AQ120" s="80"/>
      <c r="AR120" s="80"/>
      <c r="AS120" s="80"/>
      <c r="AT120" s="80"/>
      <c r="AU120" s="80"/>
      <c r="AV120" s="80"/>
      <c r="AW120" s="80"/>
      <c r="AX120" s="80"/>
      <c r="AY120" s="80"/>
      <c r="AZ120" s="80"/>
      <c r="BA120" s="80"/>
      <c r="BB120" s="80"/>
      <c r="BC120" s="80"/>
      <c r="BD120" s="80"/>
      <c r="BE120" s="80"/>
      <c r="BF120" s="80"/>
      <c r="BG120" s="80"/>
      <c r="BH120" s="80"/>
      <c r="BI120" s="80"/>
      <c r="BJ120" s="80"/>
      <c r="BK120" s="80"/>
      <c r="BL120" s="80"/>
      <c r="BM120" s="80"/>
      <c r="BN120" s="80"/>
      <c r="BO120" s="80"/>
      <c r="BP120" s="80"/>
      <c r="BQ120" s="80"/>
      <c r="BR120" s="80"/>
      <c r="BS120" s="80"/>
      <c r="BT120" s="80"/>
      <c r="BU120" s="80"/>
      <c r="BV120" s="80"/>
      <c r="BW120" s="80"/>
      <c r="BX120" s="80"/>
      <c r="BY120" s="80"/>
      <c r="BZ120" s="80"/>
      <c r="CA120" s="80"/>
      <c r="CB120" s="80"/>
      <c r="CC120" s="80"/>
      <c r="CD120" s="80"/>
      <c r="CE120" s="80"/>
      <c r="CF120" s="80"/>
      <c r="CG120" s="80"/>
      <c r="CH120" s="80"/>
      <c r="CI120" s="80"/>
      <c r="CJ120" s="80"/>
      <c r="CK120" s="80"/>
      <c r="CL120" s="80"/>
      <c r="CM120" s="80"/>
      <c r="CN120" s="80"/>
      <c r="CO120" s="80"/>
      <c r="CP120" s="80"/>
      <c r="CQ120" s="80"/>
      <c r="CR120" s="80"/>
      <c r="CS120" s="80"/>
      <c r="CT120" s="80"/>
      <c r="CU120" s="80"/>
      <c r="CV120" s="80"/>
      <c r="CW120" s="80"/>
      <c r="CX120" s="80"/>
      <c r="CY120" s="80"/>
      <c r="CZ120" s="80"/>
      <c r="DA120" s="80"/>
      <c r="DB120" s="80"/>
      <c r="DC120" s="80"/>
      <c r="DD120" s="80"/>
      <c r="DE120" s="80"/>
      <c r="DF120" s="80"/>
      <c r="DG120" s="80"/>
      <c r="DH120" s="80"/>
      <c r="DI120" s="80"/>
      <c r="DJ120" s="80"/>
      <c r="DK120" s="80"/>
      <c r="DL120" s="80"/>
      <c r="DM120" s="80"/>
      <c r="DN120" s="80"/>
      <c r="DO120" s="80"/>
      <c r="DP120" s="80"/>
      <c r="DQ120" s="80"/>
      <c r="DR120" s="80"/>
      <c r="DS120" s="80"/>
      <c r="DT120" s="80"/>
      <c r="DU120" s="80"/>
      <c r="DV120" s="80"/>
      <c r="DW120" s="80"/>
      <c r="DX120" s="80"/>
      <c r="DY120" s="80"/>
      <c r="DZ120" s="80"/>
      <c r="EA120" s="80"/>
      <c r="EB120" s="80"/>
      <c r="EC120" s="80"/>
      <c r="ED120" s="80"/>
      <c r="EE120" s="80"/>
      <c r="EF120" s="80"/>
      <c r="EG120" s="80"/>
      <c r="EH120" s="80"/>
      <c r="EI120" s="80"/>
      <c r="EJ120" s="80"/>
      <c r="EK120" s="80"/>
      <c r="EL120" s="80"/>
      <c r="EM120" s="80"/>
      <c r="EN120" s="80"/>
      <c r="EO120" s="80"/>
      <c r="EP120" s="80"/>
      <c r="EQ120" s="80"/>
      <c r="ER120" s="80"/>
      <c r="ES120" s="80"/>
      <c r="ET120" s="80"/>
      <c r="EU120" s="80"/>
      <c r="EV120" s="80"/>
      <c r="EW120" s="80"/>
      <c r="EX120" s="80"/>
      <c r="EY120" s="80"/>
      <c r="EZ120" s="80"/>
      <c r="FA120" s="80"/>
      <c r="FB120" s="80"/>
      <c r="FC120" s="80"/>
      <c r="FD120" s="80"/>
      <c r="FE120" s="80"/>
      <c r="FF120" s="80"/>
      <c r="FG120" s="80"/>
      <c r="FH120" s="80"/>
      <c r="FI120" s="80"/>
      <c r="FJ120" s="80"/>
      <c r="FK120" s="80"/>
      <c r="FL120" s="80"/>
      <c r="FM120" s="80"/>
      <c r="FN120" s="80"/>
      <c r="FO120" s="80"/>
      <c r="FP120" s="80"/>
      <c r="FQ120" s="80"/>
      <c r="FR120" s="80"/>
      <c r="FS120" s="80"/>
      <c r="FT120" s="80"/>
      <c r="FU120" s="80"/>
      <c r="FV120" s="80"/>
      <c r="FW120" s="80"/>
      <c r="FX120" s="80"/>
      <c r="FY120" s="80"/>
      <c r="FZ120" s="80"/>
    </row>
    <row r="121" spans="8:182" ht="18" customHeight="1"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  <c r="AG121" s="80"/>
      <c r="AH121" s="80"/>
      <c r="AI121" s="80"/>
      <c r="AJ121" s="80"/>
      <c r="AK121" s="80"/>
      <c r="AL121" s="80"/>
      <c r="AM121" s="80"/>
      <c r="AN121" s="80"/>
      <c r="AO121" s="80"/>
      <c r="AP121" s="80"/>
      <c r="AQ121" s="80"/>
      <c r="AR121" s="80"/>
      <c r="AS121" s="80"/>
      <c r="AT121" s="80"/>
      <c r="AU121" s="80"/>
      <c r="AV121" s="80"/>
      <c r="AW121" s="80"/>
      <c r="AX121" s="80"/>
      <c r="AY121" s="80"/>
      <c r="AZ121" s="80"/>
      <c r="BA121" s="80"/>
      <c r="BB121" s="80"/>
      <c r="BC121" s="80"/>
      <c r="BD121" s="80"/>
      <c r="BE121" s="80"/>
      <c r="BF121" s="80"/>
      <c r="BG121" s="80"/>
      <c r="BH121" s="80"/>
      <c r="BI121" s="80"/>
      <c r="BJ121" s="80"/>
      <c r="BK121" s="80"/>
      <c r="BL121" s="80"/>
      <c r="BM121" s="80"/>
      <c r="BN121" s="80"/>
      <c r="BO121" s="80"/>
      <c r="BP121" s="80"/>
      <c r="BQ121" s="80"/>
      <c r="BR121" s="80"/>
      <c r="BS121" s="80"/>
      <c r="BT121" s="80"/>
      <c r="BU121" s="80"/>
      <c r="BV121" s="80"/>
      <c r="BW121" s="80"/>
      <c r="BX121" s="80"/>
      <c r="BY121" s="80"/>
      <c r="BZ121" s="80"/>
      <c r="CA121" s="80"/>
      <c r="CB121" s="80"/>
      <c r="CC121" s="80"/>
      <c r="CD121" s="80"/>
      <c r="CE121" s="80"/>
      <c r="CF121" s="80"/>
      <c r="CG121" s="80"/>
      <c r="CH121" s="80"/>
      <c r="CI121" s="80"/>
      <c r="CJ121" s="80"/>
      <c r="CK121" s="80"/>
      <c r="CL121" s="80"/>
      <c r="CM121" s="80"/>
      <c r="CN121" s="80"/>
      <c r="CO121" s="80"/>
      <c r="CP121" s="80"/>
      <c r="CQ121" s="80"/>
      <c r="CR121" s="80"/>
      <c r="CS121" s="80"/>
      <c r="CT121" s="80"/>
      <c r="CU121" s="80"/>
      <c r="CV121" s="80"/>
      <c r="CW121" s="80"/>
      <c r="CX121" s="80"/>
      <c r="CY121" s="80"/>
      <c r="CZ121" s="80"/>
      <c r="DA121" s="80"/>
      <c r="DB121" s="80"/>
      <c r="DC121" s="80"/>
      <c r="DD121" s="80"/>
      <c r="DE121" s="80"/>
      <c r="DF121" s="80"/>
      <c r="DG121" s="80"/>
      <c r="DH121" s="80"/>
      <c r="DI121" s="80"/>
      <c r="DJ121" s="80"/>
      <c r="DK121" s="80"/>
      <c r="DL121" s="80"/>
      <c r="DM121" s="80"/>
      <c r="DN121" s="80"/>
      <c r="DO121" s="80"/>
      <c r="DP121" s="80"/>
      <c r="DQ121" s="80"/>
      <c r="DR121" s="80"/>
      <c r="DS121" s="80"/>
      <c r="DT121" s="80"/>
      <c r="DU121" s="80"/>
      <c r="DV121" s="80"/>
      <c r="DW121" s="80"/>
      <c r="DX121" s="80"/>
      <c r="DY121" s="80"/>
      <c r="DZ121" s="80"/>
      <c r="EA121" s="80"/>
      <c r="EB121" s="80"/>
      <c r="EC121" s="80"/>
      <c r="ED121" s="80"/>
      <c r="EE121" s="80"/>
      <c r="EF121" s="80"/>
      <c r="EG121" s="80"/>
      <c r="EH121" s="80"/>
      <c r="EI121" s="80"/>
      <c r="EJ121" s="80"/>
      <c r="EK121" s="80"/>
      <c r="EL121" s="80"/>
      <c r="EM121" s="80"/>
      <c r="EN121" s="80"/>
      <c r="EO121" s="80"/>
      <c r="EP121" s="80"/>
      <c r="EQ121" s="80"/>
      <c r="ER121" s="80"/>
      <c r="ES121" s="80"/>
      <c r="ET121" s="80"/>
      <c r="EU121" s="80"/>
      <c r="EV121" s="80"/>
      <c r="EW121" s="80"/>
      <c r="EX121" s="80"/>
      <c r="EY121" s="80"/>
      <c r="EZ121" s="80"/>
      <c r="FA121" s="80"/>
      <c r="FB121" s="80"/>
      <c r="FC121" s="80"/>
      <c r="FD121" s="80"/>
      <c r="FE121" s="80"/>
      <c r="FF121" s="80"/>
      <c r="FG121" s="80"/>
      <c r="FH121" s="80"/>
      <c r="FI121" s="80"/>
      <c r="FJ121" s="80"/>
      <c r="FK121" s="80"/>
      <c r="FL121" s="80"/>
      <c r="FM121" s="80"/>
      <c r="FN121" s="80"/>
      <c r="FO121" s="80"/>
      <c r="FP121" s="80"/>
      <c r="FQ121" s="80"/>
      <c r="FR121" s="80"/>
      <c r="FS121" s="80"/>
      <c r="FT121" s="80"/>
      <c r="FU121" s="80"/>
      <c r="FV121" s="80"/>
      <c r="FW121" s="80"/>
      <c r="FX121" s="80"/>
      <c r="FY121" s="80"/>
      <c r="FZ121" s="80"/>
    </row>
    <row r="122" spans="8:182" ht="18" customHeight="1"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  <c r="AG122" s="80"/>
      <c r="AH122" s="80"/>
      <c r="AI122" s="80"/>
      <c r="AJ122" s="80"/>
      <c r="AK122" s="80"/>
      <c r="AL122" s="80"/>
      <c r="AM122" s="80"/>
      <c r="AN122" s="80"/>
      <c r="AO122" s="80"/>
      <c r="AP122" s="80"/>
      <c r="AQ122" s="80"/>
      <c r="AR122" s="80"/>
      <c r="AS122" s="80"/>
      <c r="AT122" s="80"/>
      <c r="AU122" s="80"/>
      <c r="AV122" s="80"/>
      <c r="AW122" s="80"/>
      <c r="AX122" s="80"/>
      <c r="AY122" s="80"/>
      <c r="AZ122" s="80"/>
      <c r="BA122" s="80"/>
      <c r="BB122" s="80"/>
      <c r="BC122" s="80"/>
      <c r="BD122" s="80"/>
      <c r="BE122" s="80"/>
      <c r="BF122" s="80"/>
      <c r="BG122" s="80"/>
      <c r="BH122" s="80"/>
      <c r="BI122" s="80"/>
      <c r="BJ122" s="80"/>
      <c r="BK122" s="80"/>
      <c r="BL122" s="80"/>
      <c r="BM122" s="80"/>
      <c r="BN122" s="80"/>
      <c r="BO122" s="80"/>
      <c r="BP122" s="80"/>
      <c r="BQ122" s="80"/>
      <c r="BR122" s="80"/>
      <c r="BS122" s="80"/>
      <c r="BT122" s="80"/>
      <c r="BU122" s="80"/>
      <c r="BV122" s="80"/>
      <c r="BW122" s="80"/>
      <c r="BX122" s="80"/>
      <c r="BY122" s="80"/>
      <c r="BZ122" s="80"/>
      <c r="CA122" s="80"/>
      <c r="CB122" s="80"/>
      <c r="CC122" s="80"/>
      <c r="CD122" s="80"/>
      <c r="CE122" s="80"/>
      <c r="CF122" s="80"/>
      <c r="CG122" s="80"/>
      <c r="CH122" s="80"/>
      <c r="CI122" s="80"/>
      <c r="CJ122" s="80"/>
      <c r="CK122" s="80"/>
      <c r="CL122" s="80"/>
      <c r="CM122" s="80"/>
      <c r="CN122" s="80"/>
      <c r="CO122" s="80"/>
      <c r="CP122" s="80"/>
      <c r="CQ122" s="80"/>
      <c r="CR122" s="80"/>
      <c r="CS122" s="80"/>
      <c r="CT122" s="80"/>
      <c r="CU122" s="80"/>
      <c r="CV122" s="80"/>
      <c r="CW122" s="80"/>
      <c r="CX122" s="80"/>
      <c r="CY122" s="80"/>
      <c r="CZ122" s="80"/>
      <c r="DA122" s="80"/>
      <c r="DB122" s="80"/>
      <c r="DC122" s="80"/>
      <c r="DD122" s="80"/>
      <c r="DE122" s="80"/>
      <c r="DF122" s="80"/>
      <c r="DG122" s="80"/>
      <c r="DH122" s="80"/>
      <c r="DI122" s="80"/>
      <c r="DJ122" s="80"/>
      <c r="DK122" s="80"/>
      <c r="DL122" s="80"/>
      <c r="DM122" s="80"/>
      <c r="DN122" s="80"/>
      <c r="DO122" s="80"/>
      <c r="DP122" s="80"/>
      <c r="DQ122" s="80"/>
      <c r="DR122" s="80"/>
      <c r="DS122" s="80"/>
      <c r="DT122" s="80"/>
      <c r="DU122" s="80"/>
      <c r="DV122" s="80"/>
      <c r="DW122" s="80"/>
      <c r="DX122" s="80"/>
      <c r="DY122" s="80"/>
      <c r="DZ122" s="80"/>
      <c r="EA122" s="80"/>
      <c r="EB122" s="80"/>
      <c r="EC122" s="80"/>
      <c r="ED122" s="80"/>
      <c r="EE122" s="80"/>
      <c r="EF122" s="80"/>
      <c r="EG122" s="80"/>
      <c r="EH122" s="80"/>
      <c r="EI122" s="80"/>
      <c r="EJ122" s="80"/>
      <c r="EK122" s="80"/>
      <c r="EL122" s="80"/>
      <c r="EM122" s="80"/>
      <c r="EN122" s="80"/>
      <c r="EO122" s="80"/>
      <c r="EP122" s="80"/>
      <c r="EQ122" s="80"/>
      <c r="ER122" s="80"/>
      <c r="ES122" s="80"/>
      <c r="ET122" s="80"/>
      <c r="EU122" s="80"/>
      <c r="EV122" s="80"/>
      <c r="EW122" s="80"/>
      <c r="EX122" s="80"/>
      <c r="EY122" s="80"/>
      <c r="EZ122" s="80"/>
      <c r="FA122" s="80"/>
      <c r="FB122" s="80"/>
      <c r="FC122" s="80"/>
      <c r="FD122" s="80"/>
      <c r="FE122" s="80"/>
      <c r="FF122" s="80"/>
      <c r="FG122" s="80"/>
      <c r="FH122" s="80"/>
      <c r="FI122" s="80"/>
      <c r="FJ122" s="80"/>
      <c r="FK122" s="80"/>
      <c r="FL122" s="80"/>
      <c r="FM122" s="80"/>
      <c r="FN122" s="80"/>
      <c r="FO122" s="80"/>
      <c r="FP122" s="80"/>
      <c r="FQ122" s="80"/>
      <c r="FR122" s="80"/>
      <c r="FS122" s="80"/>
      <c r="FT122" s="80"/>
      <c r="FU122" s="80"/>
      <c r="FV122" s="80"/>
      <c r="FW122" s="80"/>
      <c r="FX122" s="80"/>
      <c r="FY122" s="80"/>
      <c r="FZ122" s="80"/>
    </row>
    <row r="123" spans="8:182" ht="18" customHeight="1"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  <c r="AJ123" s="80"/>
      <c r="AK123" s="80"/>
      <c r="AL123" s="80"/>
      <c r="AM123" s="80"/>
      <c r="AN123" s="80"/>
      <c r="AO123" s="80"/>
      <c r="AP123" s="80"/>
      <c r="AQ123" s="80"/>
      <c r="AR123" s="80"/>
      <c r="AS123" s="80"/>
      <c r="AT123" s="80"/>
      <c r="AU123" s="80"/>
      <c r="AV123" s="80"/>
      <c r="AW123" s="80"/>
      <c r="AX123" s="80"/>
      <c r="AY123" s="80"/>
      <c r="AZ123" s="80"/>
      <c r="BA123" s="80"/>
      <c r="BB123" s="80"/>
      <c r="BC123" s="80"/>
      <c r="BD123" s="80"/>
      <c r="BE123" s="80"/>
      <c r="BF123" s="80"/>
      <c r="BG123" s="80"/>
      <c r="BH123" s="80"/>
      <c r="BI123" s="80"/>
      <c r="BJ123" s="80"/>
      <c r="BK123" s="80"/>
      <c r="BL123" s="80"/>
      <c r="BM123" s="80"/>
      <c r="BN123" s="80"/>
      <c r="BO123" s="80"/>
      <c r="BP123" s="80"/>
      <c r="BQ123" s="80"/>
      <c r="BR123" s="80"/>
      <c r="BS123" s="80"/>
      <c r="BT123" s="80"/>
      <c r="BU123" s="80"/>
      <c r="BV123" s="80"/>
      <c r="BW123" s="80"/>
      <c r="BX123" s="80"/>
      <c r="BY123" s="80"/>
      <c r="BZ123" s="80"/>
      <c r="CA123" s="80"/>
      <c r="CB123" s="80"/>
      <c r="CC123" s="80"/>
      <c r="CD123" s="80"/>
      <c r="CE123" s="80"/>
      <c r="CF123" s="80"/>
      <c r="CG123" s="80"/>
      <c r="CH123" s="80"/>
      <c r="CI123" s="80"/>
      <c r="CJ123" s="80"/>
      <c r="CK123" s="80"/>
      <c r="CL123" s="80"/>
      <c r="CM123" s="80"/>
      <c r="CN123" s="80"/>
      <c r="CO123" s="80"/>
      <c r="CP123" s="80"/>
      <c r="CQ123" s="80"/>
      <c r="CR123" s="80"/>
      <c r="CS123" s="80"/>
      <c r="CT123" s="80"/>
      <c r="CU123" s="80"/>
      <c r="CV123" s="80"/>
      <c r="CW123" s="80"/>
      <c r="CX123" s="80"/>
      <c r="CY123" s="80"/>
      <c r="CZ123" s="80"/>
      <c r="DA123" s="80"/>
      <c r="DB123" s="80"/>
      <c r="DC123" s="80"/>
      <c r="DD123" s="80"/>
      <c r="DE123" s="80"/>
      <c r="DF123" s="80"/>
      <c r="DG123" s="80"/>
      <c r="DH123" s="80"/>
      <c r="DI123" s="80"/>
      <c r="DJ123" s="80"/>
      <c r="DK123" s="80"/>
      <c r="DL123" s="80"/>
      <c r="DM123" s="80"/>
      <c r="DN123" s="80"/>
      <c r="DO123" s="80"/>
      <c r="DP123" s="80"/>
      <c r="DQ123" s="80"/>
      <c r="DR123" s="80"/>
      <c r="DS123" s="80"/>
      <c r="DT123" s="80"/>
      <c r="DU123" s="80"/>
      <c r="DV123" s="80"/>
      <c r="DW123" s="80"/>
      <c r="DX123" s="80"/>
      <c r="DY123" s="80"/>
      <c r="DZ123" s="80"/>
      <c r="EA123" s="80"/>
      <c r="EB123" s="80"/>
      <c r="EC123" s="80"/>
      <c r="ED123" s="80"/>
      <c r="EE123" s="80"/>
      <c r="EF123" s="80"/>
      <c r="EG123" s="80"/>
      <c r="EH123" s="80"/>
      <c r="EI123" s="80"/>
      <c r="EJ123" s="80"/>
      <c r="EK123" s="80"/>
      <c r="EL123" s="80"/>
      <c r="EM123" s="80"/>
      <c r="EN123" s="80"/>
      <c r="EO123" s="80"/>
      <c r="EP123" s="80"/>
      <c r="EQ123" s="80"/>
      <c r="ER123" s="80"/>
      <c r="ES123" s="80"/>
      <c r="ET123" s="80"/>
      <c r="EU123" s="80"/>
      <c r="EV123" s="80"/>
      <c r="EW123" s="80"/>
      <c r="EX123" s="80"/>
      <c r="EY123" s="80"/>
      <c r="EZ123" s="80"/>
      <c r="FA123" s="80"/>
      <c r="FB123" s="80"/>
      <c r="FC123" s="80"/>
      <c r="FD123" s="80"/>
      <c r="FE123" s="80"/>
      <c r="FF123" s="80"/>
      <c r="FG123" s="80"/>
      <c r="FH123" s="80"/>
      <c r="FI123" s="80"/>
      <c r="FJ123" s="80"/>
      <c r="FK123" s="80"/>
      <c r="FL123" s="80"/>
      <c r="FM123" s="80"/>
      <c r="FN123" s="80"/>
      <c r="FO123" s="80"/>
      <c r="FP123" s="80"/>
      <c r="FQ123" s="80"/>
      <c r="FR123" s="80"/>
      <c r="FS123" s="80"/>
      <c r="FT123" s="80"/>
      <c r="FU123" s="80"/>
      <c r="FV123" s="80"/>
      <c r="FW123" s="80"/>
      <c r="FX123" s="80"/>
      <c r="FY123" s="80"/>
      <c r="FZ123" s="80"/>
    </row>
    <row r="124" spans="8:182" ht="18" customHeight="1"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  <c r="AG124" s="80"/>
      <c r="AH124" s="80"/>
      <c r="AI124" s="80"/>
      <c r="AJ124" s="80"/>
      <c r="AK124" s="80"/>
      <c r="AL124" s="80"/>
      <c r="AM124" s="80"/>
      <c r="AN124" s="80"/>
      <c r="AO124" s="80"/>
      <c r="AP124" s="80"/>
      <c r="AQ124" s="80"/>
      <c r="AR124" s="80"/>
      <c r="AS124" s="80"/>
      <c r="AT124" s="80"/>
      <c r="AU124" s="80"/>
      <c r="AV124" s="80"/>
      <c r="AW124" s="80"/>
      <c r="AX124" s="80"/>
      <c r="AY124" s="80"/>
      <c r="AZ124" s="80"/>
      <c r="BA124" s="80"/>
      <c r="BB124" s="80"/>
      <c r="BC124" s="80"/>
      <c r="BD124" s="80"/>
      <c r="BE124" s="80"/>
      <c r="BF124" s="80"/>
      <c r="BG124" s="80"/>
      <c r="BH124" s="80"/>
      <c r="BI124" s="80"/>
      <c r="BJ124" s="80"/>
      <c r="BK124" s="80"/>
      <c r="BL124" s="80"/>
      <c r="BM124" s="80"/>
      <c r="BN124" s="80"/>
      <c r="BO124" s="80"/>
      <c r="BP124" s="80"/>
      <c r="BQ124" s="80"/>
      <c r="BR124" s="80"/>
      <c r="BS124" s="80"/>
      <c r="BT124" s="80"/>
      <c r="BU124" s="80"/>
      <c r="BV124" s="80"/>
      <c r="BW124" s="80"/>
      <c r="BX124" s="80"/>
      <c r="BY124" s="80"/>
      <c r="BZ124" s="80"/>
      <c r="CA124" s="80"/>
      <c r="CB124" s="80"/>
      <c r="CC124" s="80"/>
      <c r="CD124" s="80"/>
      <c r="CE124" s="80"/>
      <c r="CF124" s="80"/>
      <c r="CG124" s="80"/>
      <c r="CH124" s="80"/>
      <c r="CI124" s="80"/>
      <c r="CJ124" s="80"/>
      <c r="CK124" s="80"/>
      <c r="CL124" s="80"/>
      <c r="CM124" s="80"/>
      <c r="CN124" s="80"/>
      <c r="CO124" s="80"/>
      <c r="CP124" s="80"/>
      <c r="CQ124" s="80"/>
      <c r="CR124" s="80"/>
      <c r="CS124" s="80"/>
      <c r="CT124" s="80"/>
      <c r="CU124" s="80"/>
      <c r="CV124" s="80"/>
      <c r="CW124" s="80"/>
      <c r="CX124" s="80"/>
      <c r="CY124" s="80"/>
      <c r="CZ124" s="80"/>
      <c r="DA124" s="80"/>
      <c r="DB124" s="80"/>
      <c r="DC124" s="80"/>
      <c r="DD124" s="80"/>
      <c r="DE124" s="80"/>
      <c r="DF124" s="80"/>
      <c r="DG124" s="80"/>
      <c r="DH124" s="80"/>
      <c r="DI124" s="80"/>
      <c r="DJ124" s="80"/>
      <c r="DK124" s="80"/>
      <c r="DL124" s="80"/>
      <c r="DM124" s="80"/>
      <c r="DN124" s="80"/>
      <c r="DO124" s="80"/>
      <c r="DP124" s="80"/>
      <c r="DQ124" s="80"/>
      <c r="DR124" s="80"/>
      <c r="DS124" s="80"/>
      <c r="DT124" s="80"/>
      <c r="DU124" s="80"/>
      <c r="DV124" s="80"/>
      <c r="DW124" s="80"/>
      <c r="DX124" s="80"/>
      <c r="DY124" s="80"/>
      <c r="DZ124" s="80"/>
      <c r="EA124" s="80"/>
      <c r="EB124" s="80"/>
      <c r="EC124" s="80"/>
      <c r="ED124" s="80"/>
      <c r="EE124" s="80"/>
      <c r="EF124" s="80"/>
      <c r="EG124" s="80"/>
      <c r="EH124" s="80"/>
      <c r="EI124" s="80"/>
      <c r="EJ124" s="80"/>
      <c r="EK124" s="80"/>
      <c r="EL124" s="80"/>
      <c r="EM124" s="80"/>
      <c r="EN124" s="80"/>
      <c r="EO124" s="80"/>
      <c r="EP124" s="80"/>
      <c r="EQ124" s="80"/>
      <c r="ER124" s="80"/>
      <c r="ES124" s="80"/>
      <c r="ET124" s="80"/>
      <c r="EU124" s="80"/>
      <c r="EV124" s="80"/>
      <c r="EW124" s="80"/>
      <c r="EX124" s="80"/>
      <c r="EY124" s="80"/>
      <c r="EZ124" s="80"/>
      <c r="FA124" s="80"/>
      <c r="FB124" s="80"/>
      <c r="FC124" s="80"/>
      <c r="FD124" s="80"/>
      <c r="FE124" s="80"/>
      <c r="FF124" s="80"/>
      <c r="FG124" s="80"/>
      <c r="FH124" s="80"/>
      <c r="FI124" s="80"/>
      <c r="FJ124" s="80"/>
      <c r="FK124" s="80"/>
      <c r="FL124" s="80"/>
      <c r="FM124" s="80"/>
      <c r="FN124" s="80"/>
      <c r="FO124" s="80"/>
      <c r="FP124" s="80"/>
      <c r="FQ124" s="80"/>
      <c r="FR124" s="80"/>
      <c r="FS124" s="80"/>
      <c r="FT124" s="80"/>
      <c r="FU124" s="80"/>
      <c r="FV124" s="80"/>
      <c r="FW124" s="80"/>
      <c r="FX124" s="80"/>
      <c r="FY124" s="80"/>
      <c r="FZ124" s="80"/>
    </row>
    <row r="125" spans="8:182" ht="18" customHeight="1"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80"/>
      <c r="AG125" s="80"/>
      <c r="AH125" s="80"/>
      <c r="AI125" s="80"/>
      <c r="AJ125" s="80"/>
      <c r="AK125" s="80"/>
      <c r="AL125" s="80"/>
      <c r="AM125" s="80"/>
      <c r="AN125" s="80"/>
      <c r="AO125" s="80"/>
      <c r="AP125" s="80"/>
      <c r="AQ125" s="80"/>
      <c r="AR125" s="80"/>
      <c r="AS125" s="80"/>
      <c r="AT125" s="80"/>
      <c r="AU125" s="80"/>
      <c r="AV125" s="80"/>
      <c r="AW125" s="80"/>
      <c r="AX125" s="80"/>
      <c r="AY125" s="80"/>
      <c r="AZ125" s="80"/>
      <c r="BA125" s="80"/>
      <c r="BB125" s="80"/>
      <c r="BC125" s="80"/>
      <c r="BD125" s="80"/>
      <c r="BE125" s="80"/>
      <c r="BF125" s="80"/>
      <c r="BG125" s="80"/>
      <c r="BH125" s="80"/>
      <c r="BI125" s="80"/>
      <c r="BJ125" s="80"/>
      <c r="BK125" s="80"/>
      <c r="BL125" s="80"/>
      <c r="BM125" s="80"/>
      <c r="BN125" s="80"/>
      <c r="BO125" s="80"/>
      <c r="BP125" s="80"/>
      <c r="BQ125" s="80"/>
      <c r="BR125" s="80"/>
      <c r="BS125" s="80"/>
      <c r="BT125" s="80"/>
      <c r="BU125" s="80"/>
      <c r="BV125" s="80"/>
      <c r="BW125" s="80"/>
      <c r="BX125" s="80"/>
      <c r="BY125" s="80"/>
      <c r="BZ125" s="80"/>
      <c r="CA125" s="80"/>
      <c r="CB125" s="80"/>
      <c r="CC125" s="80"/>
      <c r="CD125" s="80"/>
      <c r="CE125" s="80"/>
      <c r="CF125" s="80"/>
      <c r="CG125" s="80"/>
      <c r="CH125" s="80"/>
      <c r="CI125" s="80"/>
      <c r="CJ125" s="80"/>
      <c r="CK125" s="80"/>
      <c r="CL125" s="80"/>
      <c r="CM125" s="80"/>
      <c r="CN125" s="80"/>
      <c r="CO125" s="80"/>
      <c r="CP125" s="80"/>
      <c r="CQ125" s="80"/>
      <c r="CR125" s="80"/>
      <c r="CS125" s="80"/>
      <c r="CT125" s="80"/>
      <c r="CU125" s="80"/>
      <c r="CV125" s="80"/>
      <c r="CW125" s="80"/>
      <c r="CX125" s="80"/>
      <c r="CY125" s="80"/>
      <c r="CZ125" s="80"/>
      <c r="DA125" s="80"/>
      <c r="DB125" s="80"/>
      <c r="DC125" s="80"/>
      <c r="DD125" s="80"/>
      <c r="DE125" s="80"/>
      <c r="DF125" s="80"/>
      <c r="DG125" s="80"/>
      <c r="DH125" s="80"/>
      <c r="DI125" s="80"/>
      <c r="DJ125" s="80"/>
      <c r="DK125" s="80"/>
      <c r="DL125" s="80"/>
      <c r="DM125" s="80"/>
      <c r="DN125" s="80"/>
      <c r="DO125" s="80"/>
      <c r="DP125" s="80"/>
      <c r="DQ125" s="80"/>
      <c r="DR125" s="80"/>
      <c r="DS125" s="80"/>
      <c r="DT125" s="80"/>
      <c r="DU125" s="80"/>
      <c r="DV125" s="80"/>
      <c r="DW125" s="80"/>
      <c r="DX125" s="80"/>
      <c r="DY125" s="80"/>
      <c r="DZ125" s="80"/>
      <c r="EA125" s="80"/>
      <c r="EB125" s="80"/>
      <c r="EC125" s="80"/>
      <c r="ED125" s="80"/>
      <c r="EE125" s="80"/>
      <c r="EF125" s="80"/>
      <c r="EG125" s="80"/>
      <c r="EH125" s="80"/>
      <c r="EI125" s="80"/>
      <c r="EJ125" s="80"/>
      <c r="EK125" s="80"/>
      <c r="EL125" s="80"/>
      <c r="EM125" s="80"/>
      <c r="EN125" s="80"/>
      <c r="EO125" s="80"/>
      <c r="EP125" s="80"/>
      <c r="EQ125" s="80"/>
      <c r="ER125" s="80"/>
      <c r="ES125" s="80"/>
      <c r="ET125" s="80"/>
      <c r="EU125" s="80"/>
      <c r="EV125" s="80"/>
      <c r="EW125" s="80"/>
      <c r="EX125" s="80"/>
      <c r="EY125" s="80"/>
      <c r="EZ125" s="80"/>
      <c r="FA125" s="80"/>
      <c r="FB125" s="80"/>
      <c r="FC125" s="80"/>
      <c r="FD125" s="80"/>
      <c r="FE125" s="80"/>
      <c r="FF125" s="80"/>
      <c r="FG125" s="80"/>
      <c r="FH125" s="80"/>
      <c r="FI125" s="80"/>
      <c r="FJ125" s="80"/>
      <c r="FK125" s="80"/>
      <c r="FL125" s="80"/>
      <c r="FM125" s="80"/>
      <c r="FN125" s="80"/>
      <c r="FO125" s="80"/>
      <c r="FP125" s="80"/>
      <c r="FQ125" s="80"/>
      <c r="FR125" s="80"/>
      <c r="FS125" s="80"/>
      <c r="FT125" s="80"/>
      <c r="FU125" s="80"/>
      <c r="FV125" s="80"/>
      <c r="FW125" s="80"/>
      <c r="FX125" s="80"/>
      <c r="FY125" s="80"/>
      <c r="FZ125" s="80"/>
    </row>
    <row r="126" spans="8:182" ht="18" customHeight="1"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0"/>
      <c r="AG126" s="80"/>
      <c r="AH126" s="80"/>
      <c r="AI126" s="80"/>
      <c r="AJ126" s="80"/>
      <c r="AK126" s="80"/>
      <c r="AL126" s="80"/>
      <c r="AM126" s="80"/>
      <c r="AN126" s="80"/>
      <c r="AO126" s="80"/>
      <c r="AP126" s="80"/>
      <c r="AQ126" s="80"/>
      <c r="AR126" s="80"/>
      <c r="AS126" s="80"/>
      <c r="AT126" s="80"/>
      <c r="AU126" s="80"/>
      <c r="AV126" s="80"/>
      <c r="AW126" s="80"/>
      <c r="AX126" s="80"/>
      <c r="AY126" s="80"/>
      <c r="AZ126" s="80"/>
      <c r="BA126" s="80"/>
      <c r="BB126" s="80"/>
      <c r="BC126" s="80"/>
      <c r="BD126" s="80"/>
      <c r="BE126" s="80"/>
      <c r="BF126" s="80"/>
      <c r="BG126" s="80"/>
      <c r="BH126" s="80"/>
      <c r="BI126" s="80"/>
      <c r="BJ126" s="80"/>
      <c r="BK126" s="80"/>
      <c r="BL126" s="80"/>
      <c r="BM126" s="80"/>
      <c r="BN126" s="80"/>
      <c r="BO126" s="80"/>
      <c r="BP126" s="80"/>
      <c r="BQ126" s="80"/>
      <c r="BR126" s="80"/>
      <c r="BS126" s="80"/>
      <c r="BT126" s="80"/>
      <c r="BU126" s="80"/>
      <c r="BV126" s="80"/>
      <c r="BW126" s="80"/>
      <c r="BX126" s="80"/>
      <c r="BY126" s="80"/>
      <c r="BZ126" s="80"/>
      <c r="CA126" s="80"/>
      <c r="CB126" s="80"/>
      <c r="CC126" s="80"/>
      <c r="CD126" s="80"/>
      <c r="CE126" s="80"/>
      <c r="CF126" s="80"/>
      <c r="CG126" s="80"/>
      <c r="CH126" s="80"/>
      <c r="CI126" s="80"/>
      <c r="CJ126" s="80"/>
      <c r="CK126" s="80"/>
      <c r="CL126" s="80"/>
      <c r="CM126" s="80"/>
      <c r="CN126" s="80"/>
      <c r="CO126" s="80"/>
      <c r="CP126" s="80"/>
      <c r="CQ126" s="80"/>
      <c r="CR126" s="80"/>
      <c r="CS126" s="80"/>
      <c r="CT126" s="80"/>
      <c r="CU126" s="80"/>
      <c r="CV126" s="80"/>
      <c r="CW126" s="80"/>
      <c r="CX126" s="80"/>
      <c r="CY126" s="80"/>
      <c r="CZ126" s="80"/>
      <c r="DA126" s="80"/>
      <c r="DB126" s="80"/>
      <c r="DC126" s="80"/>
      <c r="DD126" s="80"/>
      <c r="DE126" s="80"/>
      <c r="DF126" s="80"/>
      <c r="DG126" s="80"/>
      <c r="DH126" s="80"/>
      <c r="DI126" s="80"/>
      <c r="DJ126" s="80"/>
      <c r="DK126" s="80"/>
      <c r="DL126" s="80"/>
      <c r="DM126" s="80"/>
      <c r="DN126" s="80"/>
      <c r="DO126" s="80"/>
      <c r="DP126" s="80"/>
      <c r="DQ126" s="80"/>
      <c r="DR126" s="80"/>
      <c r="DS126" s="80"/>
      <c r="DT126" s="80"/>
      <c r="DU126" s="80"/>
      <c r="DV126" s="80"/>
      <c r="DW126" s="80"/>
      <c r="DX126" s="80"/>
      <c r="DY126" s="80"/>
      <c r="DZ126" s="80"/>
      <c r="EA126" s="80"/>
      <c r="EB126" s="80"/>
      <c r="EC126" s="80"/>
      <c r="ED126" s="80"/>
      <c r="EE126" s="80"/>
      <c r="EF126" s="80"/>
      <c r="EG126" s="80"/>
      <c r="EH126" s="80"/>
      <c r="EI126" s="80"/>
      <c r="EJ126" s="80"/>
      <c r="EK126" s="80"/>
      <c r="EL126" s="80"/>
      <c r="EM126" s="80"/>
      <c r="EN126" s="80"/>
      <c r="EO126" s="80"/>
      <c r="EP126" s="80"/>
      <c r="EQ126" s="80"/>
      <c r="ER126" s="80"/>
      <c r="ES126" s="80"/>
      <c r="ET126" s="80"/>
      <c r="EU126" s="80"/>
      <c r="EV126" s="80"/>
      <c r="EW126" s="80"/>
      <c r="EX126" s="80"/>
      <c r="EY126" s="80"/>
      <c r="EZ126" s="80"/>
      <c r="FA126" s="80"/>
      <c r="FB126" s="80"/>
      <c r="FC126" s="80"/>
      <c r="FD126" s="80"/>
      <c r="FE126" s="80"/>
      <c r="FF126" s="80"/>
      <c r="FG126" s="80"/>
      <c r="FH126" s="80"/>
      <c r="FI126" s="80"/>
      <c r="FJ126" s="80"/>
      <c r="FK126" s="80"/>
      <c r="FL126" s="80"/>
      <c r="FM126" s="80"/>
      <c r="FN126" s="80"/>
      <c r="FO126" s="80"/>
      <c r="FP126" s="80"/>
      <c r="FQ126" s="80"/>
      <c r="FR126" s="80"/>
      <c r="FS126" s="80"/>
      <c r="FT126" s="80"/>
      <c r="FU126" s="80"/>
      <c r="FV126" s="80"/>
      <c r="FW126" s="80"/>
      <c r="FX126" s="80"/>
      <c r="FY126" s="80"/>
      <c r="FZ126" s="80"/>
    </row>
    <row r="127" spans="8:182" ht="18" customHeight="1"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80"/>
      <c r="AC127" s="80"/>
      <c r="AD127" s="80"/>
      <c r="AE127" s="80"/>
      <c r="AF127" s="80"/>
      <c r="AG127" s="80"/>
      <c r="AH127" s="80"/>
      <c r="AI127" s="80"/>
      <c r="AJ127" s="80"/>
      <c r="AK127" s="80"/>
      <c r="AL127" s="80"/>
      <c r="AM127" s="80"/>
      <c r="AN127" s="80"/>
      <c r="AO127" s="80"/>
      <c r="AP127" s="80"/>
      <c r="AQ127" s="80"/>
      <c r="AR127" s="80"/>
      <c r="AS127" s="80"/>
      <c r="AT127" s="80"/>
      <c r="AU127" s="80"/>
      <c r="AV127" s="80"/>
      <c r="AW127" s="80"/>
      <c r="AX127" s="80"/>
      <c r="AY127" s="80"/>
      <c r="AZ127" s="80"/>
      <c r="BA127" s="80"/>
      <c r="BB127" s="80"/>
      <c r="BC127" s="80"/>
      <c r="BD127" s="80"/>
      <c r="BE127" s="80"/>
      <c r="BF127" s="80"/>
      <c r="BG127" s="80"/>
      <c r="BH127" s="80"/>
      <c r="BI127" s="80"/>
      <c r="BJ127" s="80"/>
      <c r="BK127" s="80"/>
      <c r="BL127" s="80"/>
      <c r="BM127" s="80"/>
      <c r="BN127" s="80"/>
      <c r="BO127" s="80"/>
      <c r="BP127" s="80"/>
      <c r="BQ127" s="80"/>
      <c r="BR127" s="80"/>
      <c r="BS127" s="80"/>
      <c r="BT127" s="80"/>
      <c r="BU127" s="80"/>
      <c r="BV127" s="80"/>
      <c r="BW127" s="80"/>
      <c r="BX127" s="80"/>
      <c r="BY127" s="80"/>
      <c r="BZ127" s="80"/>
      <c r="CA127" s="80"/>
      <c r="CB127" s="80"/>
      <c r="CC127" s="80"/>
      <c r="CD127" s="80"/>
      <c r="CE127" s="80"/>
      <c r="CF127" s="80"/>
      <c r="CG127" s="80"/>
      <c r="CH127" s="80"/>
      <c r="CI127" s="80"/>
      <c r="CJ127" s="80"/>
      <c r="CK127" s="80"/>
      <c r="CL127" s="80"/>
      <c r="CM127" s="80"/>
      <c r="CN127" s="80"/>
      <c r="CO127" s="80"/>
      <c r="CP127" s="80"/>
      <c r="CQ127" s="80"/>
      <c r="CR127" s="80"/>
      <c r="CS127" s="80"/>
      <c r="CT127" s="80"/>
      <c r="CU127" s="80"/>
      <c r="CV127" s="80"/>
      <c r="CW127" s="80"/>
      <c r="CX127" s="80"/>
      <c r="CY127" s="80"/>
      <c r="CZ127" s="80"/>
      <c r="DA127" s="80"/>
      <c r="DB127" s="80"/>
      <c r="DC127" s="80"/>
      <c r="DD127" s="80"/>
      <c r="DE127" s="80"/>
      <c r="DF127" s="80"/>
      <c r="DG127" s="80"/>
      <c r="DH127" s="80"/>
      <c r="DI127" s="80"/>
      <c r="DJ127" s="80"/>
      <c r="DK127" s="80"/>
      <c r="DL127" s="80"/>
      <c r="DM127" s="80"/>
      <c r="DN127" s="80"/>
      <c r="DO127" s="80"/>
      <c r="DP127" s="80"/>
      <c r="DQ127" s="80"/>
      <c r="DR127" s="80"/>
      <c r="DS127" s="80"/>
      <c r="DT127" s="80"/>
      <c r="DU127" s="80"/>
      <c r="DV127" s="80"/>
      <c r="DW127" s="80"/>
      <c r="DX127" s="80"/>
      <c r="DY127" s="80"/>
      <c r="DZ127" s="80"/>
      <c r="EA127" s="80"/>
      <c r="EB127" s="80"/>
      <c r="EC127" s="80"/>
      <c r="ED127" s="80"/>
      <c r="EE127" s="80"/>
      <c r="EF127" s="80"/>
      <c r="EG127" s="80"/>
      <c r="EH127" s="80"/>
      <c r="EI127" s="80"/>
      <c r="EJ127" s="80"/>
      <c r="EK127" s="80"/>
      <c r="EL127" s="80"/>
      <c r="EM127" s="80"/>
      <c r="EN127" s="80"/>
      <c r="EO127" s="80"/>
      <c r="EP127" s="80"/>
      <c r="EQ127" s="80"/>
      <c r="ER127" s="80"/>
      <c r="ES127" s="80"/>
      <c r="ET127" s="80"/>
      <c r="EU127" s="80"/>
      <c r="EV127" s="80"/>
      <c r="EW127" s="80"/>
      <c r="EX127" s="80"/>
      <c r="EY127" s="80"/>
      <c r="EZ127" s="80"/>
      <c r="FA127" s="80"/>
      <c r="FB127" s="80"/>
      <c r="FC127" s="80"/>
      <c r="FD127" s="80"/>
      <c r="FE127" s="80"/>
      <c r="FF127" s="80"/>
      <c r="FG127" s="80"/>
      <c r="FH127" s="80"/>
      <c r="FI127" s="80"/>
      <c r="FJ127" s="80"/>
      <c r="FK127" s="80"/>
      <c r="FL127" s="80"/>
      <c r="FM127" s="80"/>
      <c r="FN127" s="80"/>
      <c r="FO127" s="80"/>
      <c r="FP127" s="80"/>
      <c r="FQ127" s="80"/>
      <c r="FR127" s="80"/>
      <c r="FS127" s="80"/>
      <c r="FT127" s="80"/>
      <c r="FU127" s="80"/>
      <c r="FV127" s="80"/>
      <c r="FW127" s="80"/>
      <c r="FX127" s="80"/>
      <c r="FY127" s="80"/>
      <c r="FZ127" s="80"/>
    </row>
    <row r="128" spans="8:182" ht="18" customHeight="1"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80"/>
      <c r="AB128" s="80"/>
      <c r="AC128" s="80"/>
      <c r="AD128" s="80"/>
      <c r="AE128" s="80"/>
      <c r="AF128" s="80"/>
      <c r="AG128" s="80"/>
      <c r="AH128" s="80"/>
      <c r="AI128" s="80"/>
      <c r="AJ128" s="80"/>
      <c r="AK128" s="80"/>
      <c r="AL128" s="80"/>
      <c r="AM128" s="80"/>
      <c r="AN128" s="80"/>
      <c r="AO128" s="80"/>
      <c r="AP128" s="80"/>
      <c r="AQ128" s="80"/>
      <c r="AR128" s="80"/>
      <c r="AS128" s="80"/>
      <c r="AT128" s="80"/>
      <c r="AU128" s="80"/>
      <c r="AV128" s="80"/>
      <c r="AW128" s="80"/>
      <c r="AX128" s="80"/>
      <c r="AY128" s="80"/>
      <c r="AZ128" s="80"/>
      <c r="BA128" s="80"/>
      <c r="BB128" s="80"/>
      <c r="BC128" s="80"/>
      <c r="BD128" s="80"/>
      <c r="BE128" s="80"/>
      <c r="BF128" s="80"/>
      <c r="BG128" s="80"/>
      <c r="BH128" s="80"/>
      <c r="BI128" s="80"/>
      <c r="BJ128" s="80"/>
      <c r="BK128" s="80"/>
      <c r="BL128" s="80"/>
      <c r="BM128" s="80"/>
      <c r="BN128" s="80"/>
      <c r="BO128" s="80"/>
      <c r="BP128" s="80"/>
      <c r="BQ128" s="80"/>
      <c r="BR128" s="80"/>
      <c r="BS128" s="80"/>
      <c r="BT128" s="80"/>
      <c r="BU128" s="80"/>
      <c r="BV128" s="80"/>
      <c r="BW128" s="80"/>
      <c r="BX128" s="80"/>
      <c r="BY128" s="80"/>
      <c r="BZ128" s="80"/>
      <c r="CA128" s="80"/>
      <c r="CB128" s="80"/>
      <c r="CC128" s="80"/>
      <c r="CD128" s="80"/>
      <c r="CE128" s="80"/>
      <c r="CF128" s="80"/>
      <c r="CG128" s="80"/>
      <c r="CH128" s="80"/>
      <c r="CI128" s="80"/>
      <c r="CJ128" s="80"/>
      <c r="CK128" s="80"/>
      <c r="CL128" s="80"/>
      <c r="CM128" s="80"/>
      <c r="CN128" s="80"/>
      <c r="CO128" s="80"/>
      <c r="CP128" s="80"/>
      <c r="CQ128" s="80"/>
      <c r="CR128" s="80"/>
      <c r="CS128" s="80"/>
      <c r="CT128" s="80"/>
      <c r="CU128" s="80"/>
      <c r="CV128" s="80"/>
      <c r="CW128" s="80"/>
      <c r="CX128" s="80"/>
      <c r="CY128" s="80"/>
      <c r="CZ128" s="80"/>
      <c r="DA128" s="80"/>
      <c r="DB128" s="80"/>
      <c r="DC128" s="80"/>
      <c r="DD128" s="80"/>
      <c r="DE128" s="80"/>
      <c r="DF128" s="80"/>
      <c r="DG128" s="80"/>
      <c r="DH128" s="80"/>
      <c r="DI128" s="80"/>
      <c r="DJ128" s="80"/>
      <c r="DK128" s="80"/>
      <c r="DL128" s="80"/>
      <c r="DM128" s="80"/>
      <c r="DN128" s="80"/>
      <c r="DO128" s="80"/>
      <c r="DP128" s="80"/>
      <c r="DQ128" s="80"/>
      <c r="DR128" s="80"/>
      <c r="DS128" s="80"/>
      <c r="DT128" s="80"/>
      <c r="DU128" s="80"/>
      <c r="DV128" s="80"/>
      <c r="DW128" s="80"/>
      <c r="DX128" s="80"/>
      <c r="DY128" s="80"/>
      <c r="DZ128" s="80"/>
      <c r="EA128" s="80"/>
      <c r="EB128" s="80"/>
      <c r="EC128" s="80"/>
      <c r="ED128" s="80"/>
      <c r="EE128" s="80"/>
      <c r="EF128" s="80"/>
      <c r="EG128" s="80"/>
      <c r="EH128" s="80"/>
      <c r="EI128" s="80"/>
      <c r="EJ128" s="80"/>
      <c r="EK128" s="80"/>
      <c r="EL128" s="80"/>
      <c r="EM128" s="80"/>
      <c r="EN128" s="80"/>
      <c r="EO128" s="80"/>
      <c r="EP128" s="80"/>
      <c r="EQ128" s="80"/>
      <c r="ER128" s="80"/>
      <c r="ES128" s="80"/>
      <c r="ET128" s="80"/>
      <c r="EU128" s="80"/>
      <c r="EV128" s="80"/>
      <c r="EW128" s="80"/>
      <c r="EX128" s="80"/>
      <c r="EY128" s="80"/>
      <c r="EZ128" s="80"/>
      <c r="FA128" s="80"/>
      <c r="FB128" s="80"/>
      <c r="FC128" s="80"/>
      <c r="FD128" s="80"/>
      <c r="FE128" s="80"/>
      <c r="FF128" s="80"/>
      <c r="FG128" s="80"/>
      <c r="FH128" s="80"/>
      <c r="FI128" s="80"/>
      <c r="FJ128" s="80"/>
      <c r="FK128" s="80"/>
      <c r="FL128" s="80"/>
      <c r="FM128" s="80"/>
      <c r="FN128" s="80"/>
      <c r="FO128" s="80"/>
      <c r="FP128" s="80"/>
      <c r="FQ128" s="80"/>
      <c r="FR128" s="80"/>
      <c r="FS128" s="80"/>
      <c r="FT128" s="80"/>
      <c r="FU128" s="80"/>
      <c r="FV128" s="80"/>
      <c r="FW128" s="80"/>
      <c r="FX128" s="80"/>
      <c r="FY128" s="80"/>
      <c r="FZ128" s="80"/>
    </row>
  </sheetData>
  <mergeCells count="16">
    <mergeCell ref="A29:J30"/>
    <mergeCell ref="H6:J6"/>
    <mergeCell ref="A4:J4"/>
    <mergeCell ref="H7:H8"/>
    <mergeCell ref="I7:I8"/>
    <mergeCell ref="J7:J8"/>
    <mergeCell ref="G7:G8"/>
    <mergeCell ref="A5:F5"/>
    <mergeCell ref="H5:J5"/>
    <mergeCell ref="A6:A8"/>
    <mergeCell ref="B6:B8"/>
    <mergeCell ref="C7:C8"/>
    <mergeCell ref="D7:D8"/>
    <mergeCell ref="C6:G6"/>
    <mergeCell ref="F7:F8"/>
    <mergeCell ref="E7:E8"/>
  </mergeCells>
  <printOptions horizontalCentered="1" verticalCentered="1"/>
  <pageMargins left="0.15748031496062992" right="0.15748031496062992" top="0.7874015748031497" bottom="0.61" header="0.5118110236220472" footer="0.5118110236220472"/>
  <pageSetup horizontalDpi="600" verticalDpi="600" orientation="landscape" paperSize="8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Q61"/>
  <sheetViews>
    <sheetView showZeros="0" zoomScaleSheetLayoutView="100" workbookViewId="0" topLeftCell="A1">
      <pane xSplit="1" ySplit="6" topLeftCell="B16" activePane="bottomRight" state="frozen"/>
      <selection pane="topLeft" activeCell="J52" sqref="J52"/>
      <selection pane="topRight" activeCell="J52" sqref="J52"/>
      <selection pane="bottomLeft" activeCell="J52" sqref="J52"/>
      <selection pane="bottomRight" activeCell="E43" sqref="E43"/>
    </sheetView>
  </sheetViews>
  <sheetFormatPr defaultColWidth="9.00390625" defaultRowHeight="14.25"/>
  <cols>
    <col min="1" max="1" width="29.125" style="58" customWidth="1"/>
    <col min="2" max="2" width="13.375" style="59" customWidth="1"/>
    <col min="3" max="3" width="14.875" style="59" customWidth="1"/>
    <col min="4" max="4" width="13.25390625" style="59" customWidth="1"/>
    <col min="5" max="5" width="12.00390625" style="59" customWidth="1"/>
    <col min="6" max="6" width="30.875" style="58" customWidth="1"/>
    <col min="7" max="7" width="13.75390625" style="59" customWidth="1"/>
    <col min="8" max="8" width="12.75390625" style="59" customWidth="1"/>
    <col min="9" max="9" width="12.875" style="67" customWidth="1"/>
    <col min="10" max="10" width="11.25390625" style="59" customWidth="1"/>
    <col min="11" max="11" width="11.625" style="58" hidden="1" customWidth="1"/>
    <col min="12" max="12" width="9.50390625" style="58" hidden="1" customWidth="1"/>
    <col min="13" max="16" width="0" style="58" hidden="1" customWidth="1"/>
    <col min="17" max="17" width="13.875" style="58" hidden="1" customWidth="1"/>
    <col min="18" max="16384" width="9.00390625" style="58" customWidth="1"/>
  </cols>
  <sheetData>
    <row r="1" spans="1:10" ht="13.5" customHeight="1">
      <c r="A1" s="1" t="s">
        <v>128</v>
      </c>
      <c r="B1" s="2"/>
      <c r="C1" s="2"/>
      <c r="D1" s="2"/>
      <c r="E1" s="2"/>
      <c r="F1" s="2"/>
      <c r="G1" s="2"/>
      <c r="H1" s="2"/>
      <c r="I1" s="35"/>
      <c r="J1" s="2"/>
    </row>
    <row r="2" spans="1:10" ht="19.5" customHeight="1">
      <c r="A2" s="280" t="s">
        <v>236</v>
      </c>
      <c r="B2" s="280"/>
      <c r="C2" s="280"/>
      <c r="D2" s="280"/>
      <c r="E2" s="280"/>
      <c r="F2" s="280"/>
      <c r="G2" s="280"/>
      <c r="H2" s="280"/>
      <c r="I2" s="280"/>
      <c r="J2" s="280"/>
    </row>
    <row r="3" spans="1:10" ht="11.25" customHeight="1">
      <c r="A3" s="51"/>
      <c r="B3" s="4"/>
      <c r="C3" s="52"/>
      <c r="D3" s="4"/>
      <c r="E3" s="4"/>
      <c r="F3" s="4"/>
      <c r="G3" s="4"/>
      <c r="H3" s="4"/>
      <c r="I3" s="53"/>
      <c r="J3" s="5" t="s">
        <v>80</v>
      </c>
    </row>
    <row r="4" spans="1:10" ht="14.25">
      <c r="A4" s="284" t="s">
        <v>129</v>
      </c>
      <c r="B4" s="284"/>
      <c r="C4" s="284"/>
      <c r="D4" s="127"/>
      <c r="E4" s="127"/>
      <c r="F4" s="284" t="s">
        <v>2</v>
      </c>
      <c r="G4" s="284"/>
      <c r="H4" s="284"/>
      <c r="I4" s="284"/>
      <c r="J4" s="284"/>
    </row>
    <row r="5" spans="1:10" ht="14.25" customHeight="1">
      <c r="A5" s="278" t="s">
        <v>130</v>
      </c>
      <c r="B5" s="278" t="s">
        <v>77</v>
      </c>
      <c r="C5" s="278"/>
      <c r="D5" s="278" t="s">
        <v>187</v>
      </c>
      <c r="E5" s="278"/>
      <c r="F5" s="279" t="s">
        <v>82</v>
      </c>
      <c r="G5" s="284" t="s">
        <v>77</v>
      </c>
      <c r="H5" s="284"/>
      <c r="I5" s="284" t="s">
        <v>187</v>
      </c>
      <c r="J5" s="284"/>
    </row>
    <row r="6" spans="1:10" ht="33" customHeight="1">
      <c r="A6" s="278"/>
      <c r="B6" s="7" t="s">
        <v>6</v>
      </c>
      <c r="C6" s="7" t="s">
        <v>7</v>
      </c>
      <c r="D6" s="7" t="s">
        <v>4</v>
      </c>
      <c r="E6" s="7" t="s">
        <v>72</v>
      </c>
      <c r="F6" s="279"/>
      <c r="G6" s="7" t="s">
        <v>8</v>
      </c>
      <c r="H6" s="7" t="s">
        <v>9</v>
      </c>
      <c r="I6" s="32" t="s">
        <v>4</v>
      </c>
      <c r="J6" s="7" t="s">
        <v>72</v>
      </c>
    </row>
    <row r="7" spans="1:17" ht="15.75" customHeight="1">
      <c r="A7" s="54" t="s">
        <v>85</v>
      </c>
      <c r="B7" s="153">
        <f>'2012全市执行情况表'!C7</f>
        <v>606330</v>
      </c>
      <c r="C7" s="153">
        <f>'2012全市执行情况表'!D7</f>
        <v>627526</v>
      </c>
      <c r="D7" s="153">
        <f>SUM(D8:D20)</f>
        <v>727110</v>
      </c>
      <c r="E7" s="154">
        <f aca="true" t="shared" si="0" ref="E7:E22">(D7-C7)/C7</f>
        <v>0.1586930262650472</v>
      </c>
      <c r="F7" s="50" t="s">
        <v>86</v>
      </c>
      <c r="G7" s="164">
        <f>'2012全市执行情况表'!J7</f>
        <v>138900</v>
      </c>
      <c r="H7" s="164">
        <f>'2012全市执行情况表'!K7</f>
        <v>153678</v>
      </c>
      <c r="I7" s="155">
        <v>161184</v>
      </c>
      <c r="J7" s="157">
        <f>(I7-H7)/H7</f>
        <v>0.04884238472650607</v>
      </c>
      <c r="K7" s="58">
        <v>138848</v>
      </c>
      <c r="M7" s="58">
        <v>-834</v>
      </c>
      <c r="Q7" s="58">
        <f>D8-16007*1.13</f>
        <v>27532.09</v>
      </c>
    </row>
    <row r="8" spans="1:17" ht="15.75" customHeight="1">
      <c r="A8" s="31" t="s">
        <v>13</v>
      </c>
      <c r="B8" s="30">
        <f>'2012全市执行情况表'!C8</f>
        <v>42750</v>
      </c>
      <c r="C8" s="30">
        <f>'2012全市执行情况表'!D8</f>
        <v>40384</v>
      </c>
      <c r="D8" s="30">
        <f>'2013收入预算表'!H10</f>
        <v>45620</v>
      </c>
      <c r="E8" s="156">
        <f t="shared" si="0"/>
        <v>0.1296553090332805</v>
      </c>
      <c r="F8" s="50" t="s">
        <v>87</v>
      </c>
      <c r="G8" s="155">
        <f>'2012全市执行情况表'!J8</f>
        <v>0</v>
      </c>
      <c r="H8" s="155">
        <f>'2012全市执行情况表'!K8</f>
        <v>0</v>
      </c>
      <c r="I8" s="155">
        <f>'[1]2011支出预算分科目'!D9</f>
        <v>0</v>
      </c>
      <c r="J8" s="157"/>
      <c r="Q8" s="128">
        <f>D9-63685*1.16</f>
        <v>131165.40000000002</v>
      </c>
    </row>
    <row r="9" spans="1:17" ht="15.75" customHeight="1">
      <c r="A9" s="31" t="s">
        <v>14</v>
      </c>
      <c r="B9" s="30">
        <f>'2012全市执行情况表'!C9</f>
        <v>198000</v>
      </c>
      <c r="C9" s="30">
        <f>'2012全市执行情况表'!D9</f>
        <v>176208</v>
      </c>
      <c r="D9" s="30">
        <f>'2013收入预算表'!H11</f>
        <v>205040</v>
      </c>
      <c r="E9" s="156">
        <f t="shared" si="0"/>
        <v>0.1636248070462181</v>
      </c>
      <c r="F9" s="50" t="s">
        <v>88</v>
      </c>
      <c r="G9" s="155">
        <f>'2012全市执行情况表'!J9</f>
        <v>4007</v>
      </c>
      <c r="H9" s="155">
        <f>'2012全市执行情况表'!K9</f>
        <v>5243</v>
      </c>
      <c r="I9" s="155">
        <v>6239</v>
      </c>
      <c r="J9" s="157">
        <f aca="true" t="shared" si="1" ref="J9:J24">(I9-H9)/H9</f>
        <v>0.18996757581537288</v>
      </c>
      <c r="Q9" s="58">
        <f>D10-30625*1.16</f>
        <v>59575</v>
      </c>
    </row>
    <row r="10" spans="1:17" ht="15.75" customHeight="1">
      <c r="A10" s="31" t="s">
        <v>15</v>
      </c>
      <c r="B10" s="30">
        <f>'2012全市执行情况表'!C10</f>
        <v>89280</v>
      </c>
      <c r="C10" s="30">
        <f>'2012全市执行情况表'!D10</f>
        <v>81938</v>
      </c>
      <c r="D10" s="30">
        <f>'2013收入预算表'!H12</f>
        <v>95100</v>
      </c>
      <c r="E10" s="156">
        <f t="shared" si="0"/>
        <v>0.1606336498328004</v>
      </c>
      <c r="F10" s="50" t="s">
        <v>89</v>
      </c>
      <c r="G10" s="155">
        <f>'2012全市执行情况表'!J10</f>
        <v>90718</v>
      </c>
      <c r="H10" s="155">
        <f>'2012全市执行情况表'!K10</f>
        <v>99441</v>
      </c>
      <c r="I10" s="155">
        <v>108098</v>
      </c>
      <c r="J10" s="157">
        <f t="shared" si="1"/>
        <v>0.08705664665480034</v>
      </c>
      <c r="Q10" s="58">
        <f>D11-7455*1.12</f>
        <v>14650.4</v>
      </c>
    </row>
    <row r="11" spans="1:17" ht="15.75" customHeight="1">
      <c r="A11" s="31" t="s">
        <v>16</v>
      </c>
      <c r="B11" s="30">
        <f>'2012全市执行情况表'!C11</f>
        <v>19800</v>
      </c>
      <c r="C11" s="30">
        <f>'2012全市执行情况表'!D11</f>
        <v>18485</v>
      </c>
      <c r="D11" s="30">
        <f>'2013收入预算表'!H13</f>
        <v>23000</v>
      </c>
      <c r="E11" s="156">
        <f t="shared" si="0"/>
        <v>0.24425209629429268</v>
      </c>
      <c r="F11" s="50" t="s">
        <v>90</v>
      </c>
      <c r="G11" s="155">
        <f>'2012全市执行情况表'!J11</f>
        <v>218065</v>
      </c>
      <c r="H11" s="155">
        <f>'2012全市执行情况表'!K11</f>
        <v>212267</v>
      </c>
      <c r="I11" s="155">
        <v>231124</v>
      </c>
      <c r="J11" s="157">
        <f t="shared" si="1"/>
        <v>0.08883622984260389</v>
      </c>
      <c r="K11" s="58">
        <v>202622</v>
      </c>
      <c r="L11" s="58">
        <v>0.15</v>
      </c>
      <c r="M11" s="59">
        <f>K11-I11</f>
        <v>-28502</v>
      </c>
      <c r="N11" s="58">
        <v>15819</v>
      </c>
      <c r="Q11" s="58">
        <f>D12-20037*1.15</f>
        <v>30957.45</v>
      </c>
    </row>
    <row r="12" spans="1:13" ht="15.75" customHeight="1">
      <c r="A12" s="31" t="s">
        <v>17</v>
      </c>
      <c r="B12" s="30">
        <f>'2012全市执行情况表'!C12</f>
        <v>49500</v>
      </c>
      <c r="C12" s="30">
        <f>'2012全市执行情况表'!D12</f>
        <v>47989</v>
      </c>
      <c r="D12" s="30">
        <f>'2013收入预算表'!H14</f>
        <v>54000</v>
      </c>
      <c r="E12" s="156">
        <f t="shared" si="0"/>
        <v>0.12525787159557397</v>
      </c>
      <c r="F12" s="50" t="s">
        <v>91</v>
      </c>
      <c r="G12" s="155">
        <f>'2012全市执行情况表'!J12</f>
        <v>16085</v>
      </c>
      <c r="H12" s="155">
        <f>'2012全市执行情况表'!K12</f>
        <v>16059</v>
      </c>
      <c r="I12" s="155">
        <v>18500</v>
      </c>
      <c r="J12" s="157">
        <f t="shared" si="1"/>
        <v>0.1520019926520954</v>
      </c>
      <c r="K12" s="58">
        <v>16268</v>
      </c>
      <c r="L12" s="58">
        <v>0.2</v>
      </c>
      <c r="M12" s="59">
        <f>K12-I12</f>
        <v>-2232</v>
      </c>
    </row>
    <row r="13" spans="1:10" ht="15.75" customHeight="1">
      <c r="A13" s="31" t="s">
        <v>18</v>
      </c>
      <c r="B13" s="30">
        <f>'2012全市执行情况表'!C13</f>
        <v>23400</v>
      </c>
      <c r="C13" s="30">
        <f>'2012全市执行情况表'!D13</f>
        <v>45561</v>
      </c>
      <c r="D13" s="30">
        <f>'2013收入预算表'!H15</f>
        <v>52900</v>
      </c>
      <c r="E13" s="156">
        <f t="shared" si="0"/>
        <v>0.16108074888610874</v>
      </c>
      <c r="F13" s="50" t="s">
        <v>92</v>
      </c>
      <c r="G13" s="155">
        <f>'2012全市执行情况表'!J13</f>
        <v>22576</v>
      </c>
      <c r="H13" s="155">
        <f>'2012全市执行情况表'!K13</f>
        <v>19884</v>
      </c>
      <c r="I13" s="155">
        <v>20676</v>
      </c>
      <c r="J13" s="157">
        <f t="shared" si="1"/>
        <v>0.039831019915509955</v>
      </c>
    </row>
    <row r="14" spans="1:10" ht="15.75" customHeight="1">
      <c r="A14" s="31" t="s">
        <v>19</v>
      </c>
      <c r="B14" s="30">
        <f>'2012全市执行情况表'!C14</f>
        <v>1100</v>
      </c>
      <c r="C14" s="30">
        <f>'2012全市执行情况表'!D14</f>
        <v>1176</v>
      </c>
      <c r="D14" s="30">
        <f>'2013收入预算表'!H16</f>
        <v>1440</v>
      </c>
      <c r="E14" s="156">
        <f t="shared" si="0"/>
        <v>0.22448979591836735</v>
      </c>
      <c r="F14" s="50" t="s">
        <v>93</v>
      </c>
      <c r="G14" s="155">
        <f>'2012全市执行情况表'!J14</f>
        <v>127289</v>
      </c>
      <c r="H14" s="155">
        <f>'2012全市执行情况表'!K14</f>
        <v>143892</v>
      </c>
      <c r="I14" s="155">
        <v>151191</v>
      </c>
      <c r="J14" s="157">
        <f t="shared" si="1"/>
        <v>0.05072554415811859</v>
      </c>
    </row>
    <row r="15" spans="1:10" ht="15.75" customHeight="1">
      <c r="A15" s="31" t="s">
        <v>20</v>
      </c>
      <c r="B15" s="30">
        <f>'2012全市执行情况表'!C15</f>
        <v>78500</v>
      </c>
      <c r="C15" s="30">
        <f>'2012全市执行情况表'!D15</f>
        <v>68809</v>
      </c>
      <c r="D15" s="30">
        <f>'2013收入预算表'!H17</f>
        <v>79800</v>
      </c>
      <c r="E15" s="156">
        <f t="shared" si="0"/>
        <v>0.15973201180078186</v>
      </c>
      <c r="F15" s="50" t="s">
        <v>94</v>
      </c>
      <c r="G15" s="155">
        <f>'2012全市执行情况表'!J15</f>
        <v>77588</v>
      </c>
      <c r="H15" s="155">
        <f>'2012全市执行情况表'!K15</f>
        <v>94914</v>
      </c>
      <c r="I15" s="155">
        <v>102242</v>
      </c>
      <c r="J15" s="157">
        <f t="shared" si="1"/>
        <v>0.07720673451756327</v>
      </c>
    </row>
    <row r="16" spans="1:17" ht="15.75" customHeight="1">
      <c r="A16" s="31" t="s">
        <v>21</v>
      </c>
      <c r="B16" s="30">
        <f>'2012全市执行情况表'!C16</f>
        <v>39000</v>
      </c>
      <c r="C16" s="30">
        <f>'2012全市执行情况表'!D16</f>
        <v>41307</v>
      </c>
      <c r="D16" s="30">
        <f>'2013收入预算表'!H18</f>
        <v>48660</v>
      </c>
      <c r="E16" s="156">
        <f t="shared" si="0"/>
        <v>0.17800856997603312</v>
      </c>
      <c r="F16" s="50" t="s">
        <v>95</v>
      </c>
      <c r="G16" s="155">
        <f>'2012全市执行情况表'!J16</f>
        <v>40456</v>
      </c>
      <c r="H16" s="155">
        <f>'2012全市执行情况表'!K16</f>
        <v>29361</v>
      </c>
      <c r="I16" s="155">
        <v>28003</v>
      </c>
      <c r="J16" s="157">
        <f t="shared" si="1"/>
        <v>-0.046251830659718676</v>
      </c>
      <c r="Q16" s="58">
        <f>D16-17069*1.17</f>
        <v>28689.27</v>
      </c>
    </row>
    <row r="17" spans="1:10" ht="15.75" customHeight="1">
      <c r="A17" s="31" t="s">
        <v>22</v>
      </c>
      <c r="B17" s="30">
        <f>'2012全市执行情况表'!C17</f>
        <v>23000</v>
      </c>
      <c r="C17" s="30">
        <f>'2012全市执行情况表'!D17</f>
        <v>19152</v>
      </c>
      <c r="D17" s="30">
        <f>'2013收入预算表'!H19</f>
        <v>20950</v>
      </c>
      <c r="E17" s="156">
        <f t="shared" si="0"/>
        <v>0.09388053467000836</v>
      </c>
      <c r="F17" s="50" t="s">
        <v>96</v>
      </c>
      <c r="G17" s="155">
        <f>'2012全市执行情况表'!J17</f>
        <v>107096</v>
      </c>
      <c r="H17" s="155">
        <f>'2012全市执行情况表'!K17</f>
        <v>101850</v>
      </c>
      <c r="I17" s="155">
        <v>105884</v>
      </c>
      <c r="J17" s="157">
        <f t="shared" si="1"/>
        <v>0.03960726558664703</v>
      </c>
    </row>
    <row r="18" spans="1:13" ht="15.75" customHeight="1">
      <c r="A18" s="31" t="s">
        <v>23</v>
      </c>
      <c r="B18" s="30">
        <f>'2012全市执行情况表'!C18</f>
        <v>29000</v>
      </c>
      <c r="C18" s="30">
        <f>'2012全市执行情况表'!D18</f>
        <v>44248</v>
      </c>
      <c r="D18" s="30">
        <f>'2013收入预算表'!H20</f>
        <v>52200</v>
      </c>
      <c r="E18" s="156">
        <f t="shared" si="0"/>
        <v>0.17971433737118062</v>
      </c>
      <c r="F18" s="50" t="s">
        <v>97</v>
      </c>
      <c r="G18" s="155">
        <f>'2012全市执行情况表'!J18</f>
        <v>93331</v>
      </c>
      <c r="H18" s="155">
        <f>'2012全市执行情况表'!K18</f>
        <v>97171</v>
      </c>
      <c r="I18" s="155">
        <v>108895</v>
      </c>
      <c r="J18" s="157">
        <f t="shared" si="1"/>
        <v>0.12065328132879151</v>
      </c>
      <c r="K18" s="58">
        <v>93841</v>
      </c>
      <c r="L18" s="58">
        <v>0.16</v>
      </c>
      <c r="M18" s="59">
        <f>K18-I18</f>
        <v>-15054</v>
      </c>
    </row>
    <row r="19" spans="1:10" ht="15.75" customHeight="1">
      <c r="A19" s="33" t="s">
        <v>24</v>
      </c>
      <c r="B19" s="30">
        <f>'2012全市执行情况表'!C19</f>
        <v>12000</v>
      </c>
      <c r="C19" s="30">
        <f>'2012全市执行情况表'!D19</f>
        <v>15704</v>
      </c>
      <c r="D19" s="30">
        <f>'2013收入预算表'!H21</f>
        <v>18200</v>
      </c>
      <c r="E19" s="156">
        <f t="shared" si="0"/>
        <v>0.15894039735099338</v>
      </c>
      <c r="F19" s="50" t="s">
        <v>98</v>
      </c>
      <c r="G19" s="155">
        <f>'2012全市执行情况表'!J19</f>
        <v>32990</v>
      </c>
      <c r="H19" s="155">
        <f>'2012全市执行情况表'!K19</f>
        <v>52843</v>
      </c>
      <c r="I19" s="155">
        <v>55591</v>
      </c>
      <c r="J19" s="157">
        <f t="shared" si="1"/>
        <v>0.052003103533107504</v>
      </c>
    </row>
    <row r="20" spans="1:13" ht="15.75" customHeight="1">
      <c r="A20" s="31" t="s">
        <v>25</v>
      </c>
      <c r="B20" s="30">
        <f>'2012全市执行情况表'!C20</f>
        <v>1000</v>
      </c>
      <c r="C20" s="30">
        <f>'2012全市执行情况表'!D20</f>
        <v>26565</v>
      </c>
      <c r="D20" s="30">
        <f>'2013收入预算表'!H22</f>
        <v>30200</v>
      </c>
      <c r="E20" s="156">
        <f t="shared" si="0"/>
        <v>0.13683418031244118</v>
      </c>
      <c r="F20" s="50" t="s">
        <v>67</v>
      </c>
      <c r="G20" s="155">
        <f>'2012全市执行情况表'!J20</f>
        <v>19354</v>
      </c>
      <c r="H20" s="155">
        <f>'2012全市执行情况表'!K20</f>
        <v>25388</v>
      </c>
      <c r="I20" s="155">
        <v>28657</v>
      </c>
      <c r="J20" s="157">
        <f t="shared" si="1"/>
        <v>0.12876161966283284</v>
      </c>
      <c r="M20" s="58">
        <f>SUM(M7:M18)</f>
        <v>-46622</v>
      </c>
    </row>
    <row r="21" spans="1:10" ht="15.75" customHeight="1">
      <c r="A21" s="129" t="s">
        <v>99</v>
      </c>
      <c r="B21" s="68">
        <f>'2012全市执行情况表'!C21</f>
        <v>94600</v>
      </c>
      <c r="C21" s="68">
        <f>'2012全市执行情况表'!D21</f>
        <v>104156</v>
      </c>
      <c r="D21" s="68">
        <f>SUM(D22:D26)</f>
        <v>114150</v>
      </c>
      <c r="E21" s="165">
        <f t="shared" si="0"/>
        <v>0.09595222550789201</v>
      </c>
      <c r="F21" s="50" t="s">
        <v>100</v>
      </c>
      <c r="G21" s="155">
        <f>'2012全市执行情况表'!J21</f>
        <v>20695</v>
      </c>
      <c r="H21" s="155">
        <f>'2012全市执行情况表'!K21</f>
        <v>18469</v>
      </c>
      <c r="I21" s="155">
        <v>28313</v>
      </c>
      <c r="J21" s="157">
        <f t="shared" si="1"/>
        <v>0.5330012453300125</v>
      </c>
    </row>
    <row r="22" spans="1:10" ht="15.75" customHeight="1">
      <c r="A22" s="31" t="s">
        <v>26</v>
      </c>
      <c r="B22" s="30">
        <f>'2012全市执行情况表'!C22</f>
        <v>34300</v>
      </c>
      <c r="C22" s="30">
        <f>'2012全市执行情况表'!D22</f>
        <v>30139</v>
      </c>
      <c r="D22" s="30">
        <f>'2013收入预算表'!H27</f>
        <v>34950</v>
      </c>
      <c r="E22" s="156">
        <f t="shared" si="0"/>
        <v>0.1596270612827234</v>
      </c>
      <c r="F22" s="50" t="s">
        <v>217</v>
      </c>
      <c r="G22" s="155"/>
      <c r="H22" s="155"/>
      <c r="I22" s="155">
        <v>153</v>
      </c>
      <c r="J22" s="157"/>
    </row>
    <row r="23" spans="1:17" ht="14.25">
      <c r="A23" s="31" t="s">
        <v>60</v>
      </c>
      <c r="B23" s="30">
        <f>'2012全市执行情况表'!C23</f>
        <v>29700</v>
      </c>
      <c r="C23" s="30">
        <f>'2012全市执行情况表'!D23</f>
        <v>36133</v>
      </c>
      <c r="D23" s="30">
        <f>'2013收入预算表'!H24</f>
        <v>44195</v>
      </c>
      <c r="E23" s="156">
        <f>(D23-C23)/C23</f>
        <v>0.2231201394846816</v>
      </c>
      <c r="F23" s="50" t="s">
        <v>218</v>
      </c>
      <c r="G23" s="155">
        <f>'2012全市执行情况表'!J22</f>
        <v>6229</v>
      </c>
      <c r="H23" s="155">
        <f>'2012全市执行情况表'!K22</f>
        <v>5784</v>
      </c>
      <c r="I23" s="155">
        <v>5647</v>
      </c>
      <c r="J23" s="157">
        <f t="shared" si="1"/>
        <v>-0.023686030428769017</v>
      </c>
      <c r="Q23" s="58">
        <f>D23-4066*1.11</f>
        <v>39681.74</v>
      </c>
    </row>
    <row r="24" spans="1:12" ht="15.75" customHeight="1">
      <c r="A24" s="33" t="s">
        <v>61</v>
      </c>
      <c r="B24" s="30">
        <f>'2012全市执行情况表'!C24</f>
        <v>20500</v>
      </c>
      <c r="C24" s="30">
        <f>'2012全市执行情况表'!D24</f>
        <v>24805</v>
      </c>
      <c r="D24" s="30">
        <f>'2013收入预算表'!H25</f>
        <v>24805</v>
      </c>
      <c r="E24" s="156">
        <f>(D24-C24)/C24</f>
        <v>0</v>
      </c>
      <c r="F24" s="50" t="s">
        <v>219</v>
      </c>
      <c r="G24" s="155">
        <f>'2012全市执行情况表'!J23</f>
        <v>33653</v>
      </c>
      <c r="H24" s="155">
        <f>'2012全市执行情况表'!K23</f>
        <v>39307</v>
      </c>
      <c r="I24" s="155">
        <v>49318</v>
      </c>
      <c r="J24" s="157">
        <f t="shared" si="1"/>
        <v>0.25468746024881067</v>
      </c>
      <c r="L24" s="59"/>
    </row>
    <row r="25" spans="1:13" ht="15.75" customHeight="1">
      <c r="A25" s="31" t="s">
        <v>195</v>
      </c>
      <c r="B25" s="30">
        <f>'2012全市执行情况表'!C26</f>
        <v>9000</v>
      </c>
      <c r="C25" s="30">
        <f>'2012全市执行情况表'!D26</f>
        <v>11932</v>
      </c>
      <c r="D25" s="30">
        <f>'2013收入预算表'!H26</f>
        <v>8700</v>
      </c>
      <c r="E25" s="156">
        <f>(D25-C25)/C25</f>
        <v>-0.27086825343613813</v>
      </c>
      <c r="F25" s="50" t="s">
        <v>277</v>
      </c>
      <c r="G25" s="155">
        <f>'2012全市执行情况表'!J24</f>
        <v>4105</v>
      </c>
      <c r="H25" s="155">
        <f>'2012全市执行情况表'!K24</f>
        <v>3642</v>
      </c>
      <c r="I25" s="155">
        <v>3960</v>
      </c>
      <c r="J25" s="157">
        <f>(I25-H25)/H25</f>
        <v>0.08731466227347612</v>
      </c>
      <c r="M25" s="59"/>
    </row>
    <row r="26" spans="1:10" ht="14.25">
      <c r="A26" s="130" t="s">
        <v>221</v>
      </c>
      <c r="B26" s="30">
        <f>'2012全市执行情况表'!C27</f>
        <v>1100</v>
      </c>
      <c r="C26" s="30">
        <f>'2012全市执行情况表'!D27</f>
        <v>1147</v>
      </c>
      <c r="D26" s="30">
        <f>'2013收入预算表'!H28</f>
        <v>1500</v>
      </c>
      <c r="E26" s="156">
        <f>(D26-C26)/C26</f>
        <v>0.3077593722755013</v>
      </c>
      <c r="F26" s="50" t="s">
        <v>220</v>
      </c>
      <c r="G26" s="155">
        <f>'2012全市执行情况表'!J25</f>
        <v>35466</v>
      </c>
      <c r="H26" s="155">
        <f>'2012全市执行情况表'!K25</f>
        <v>14982</v>
      </c>
      <c r="I26" s="155">
        <f>SUM(I27:I28)</f>
        <v>42630</v>
      </c>
      <c r="J26" s="157">
        <f>(I26-H26)/H26</f>
        <v>1.8454144973968762</v>
      </c>
    </row>
    <row r="27" spans="1:10" ht="14.25" customHeight="1">
      <c r="A27" s="130"/>
      <c r="B27" s="30"/>
      <c r="C27" s="30"/>
      <c r="D27" s="30"/>
      <c r="E27" s="156"/>
      <c r="F27" s="131" t="s">
        <v>101</v>
      </c>
      <c r="G27" s="155">
        <f>'2012全市执行情况表'!J26</f>
        <v>20000</v>
      </c>
      <c r="H27" s="155">
        <f>'2012全市执行情况表'!K26</f>
        <v>0</v>
      </c>
      <c r="I27" s="155">
        <v>22500</v>
      </c>
      <c r="J27" s="157"/>
    </row>
    <row r="28" spans="1:10" ht="14.25" customHeight="1">
      <c r="A28" s="130"/>
      <c r="B28" s="30"/>
      <c r="C28" s="30"/>
      <c r="D28" s="30"/>
      <c r="E28" s="156"/>
      <c r="F28" s="131" t="s">
        <v>131</v>
      </c>
      <c r="G28" s="155">
        <f>'2012全市执行情况表'!J28</f>
        <v>15466</v>
      </c>
      <c r="H28" s="155">
        <f>'2012全市执行情况表'!K28</f>
        <v>14982</v>
      </c>
      <c r="I28" s="155">
        <v>20130</v>
      </c>
      <c r="J28" s="157">
        <f>(I28-H28)/H28</f>
        <v>0.3436123348017621</v>
      </c>
    </row>
    <row r="29" spans="1:10" ht="14.25">
      <c r="A29" s="18"/>
      <c r="B29" s="153"/>
      <c r="C29" s="153"/>
      <c r="D29" s="12"/>
      <c r="E29" s="154"/>
      <c r="F29" s="17"/>
      <c r="G29" s="164"/>
      <c r="H29" s="164"/>
      <c r="I29" s="155"/>
      <c r="J29" s="157"/>
    </row>
    <row r="30" spans="1:17" ht="15.75" customHeight="1">
      <c r="A30" s="55" t="s">
        <v>205</v>
      </c>
      <c r="B30" s="56">
        <f>'2012全市执行情况表'!C29</f>
        <v>700930</v>
      </c>
      <c r="C30" s="56">
        <f>'2012全市执行情况表'!D29</f>
        <v>731682</v>
      </c>
      <c r="D30" s="56">
        <f>SUM(D7,D21)</f>
        <v>841260</v>
      </c>
      <c r="E30" s="159">
        <f>(D30-C30)/C30</f>
        <v>0.14976178175764882</v>
      </c>
      <c r="F30" s="57" t="s">
        <v>207</v>
      </c>
      <c r="G30" s="56">
        <f>'2012全市执行情况表'!J29</f>
        <v>1088605</v>
      </c>
      <c r="H30" s="56">
        <f>'2012全市执行情况表'!K29</f>
        <v>1134175</v>
      </c>
      <c r="I30" s="74">
        <f>SUM(I7:I26)+2</f>
        <v>1256307</v>
      </c>
      <c r="J30" s="166">
        <f>(I30-H30)/H30</f>
        <v>0.10768355853373597</v>
      </c>
      <c r="Q30" s="58">
        <v>878365</v>
      </c>
    </row>
    <row r="31" spans="1:11" ht="15.75" customHeight="1">
      <c r="A31" s="55"/>
      <c r="B31" s="56">
        <f>'2012全市执行情况表'!C30</f>
        <v>0</v>
      </c>
      <c r="C31" s="56">
        <f>'2012全市执行情况表'!D30</f>
        <v>0</v>
      </c>
      <c r="D31" s="56"/>
      <c r="E31" s="158"/>
      <c r="F31" s="57"/>
      <c r="G31" s="56">
        <f>'2012全市执行情况表'!J30</f>
        <v>0</v>
      </c>
      <c r="H31" s="56">
        <f>'2012全市执行情况表'!K30</f>
        <v>0</v>
      </c>
      <c r="I31" s="69"/>
      <c r="J31" s="166"/>
      <c r="K31" s="116" t="e">
        <f>#REF!-#REF!</f>
        <v>#REF!</v>
      </c>
    </row>
    <row r="32" spans="1:10" ht="15.75" customHeight="1">
      <c r="A32" s="86" t="s">
        <v>3</v>
      </c>
      <c r="B32" s="56">
        <f>'2012全市执行情况表'!C31</f>
        <v>440075</v>
      </c>
      <c r="C32" s="56">
        <f>'2012全市执行情况表'!D31</f>
        <v>565465</v>
      </c>
      <c r="D32" s="56">
        <f>SUM(D34:D38)+D41</f>
        <v>498300</v>
      </c>
      <c r="E32" s="158">
        <f>(D32-C32)/C32</f>
        <v>-0.11877835056104268</v>
      </c>
      <c r="F32" s="86" t="s">
        <v>185</v>
      </c>
      <c r="G32" s="56">
        <f>'2012全市执行情况表'!J31</f>
        <v>52000</v>
      </c>
      <c r="H32" s="56">
        <f>'2012全市执行情况表'!K31</f>
        <v>103193</v>
      </c>
      <c r="I32" s="69">
        <f>SUM(I33,I38,I40,I42)+I39</f>
        <v>82953</v>
      </c>
      <c r="J32" s="166">
        <f>(I32-H32)/H32</f>
        <v>-0.19613733489674687</v>
      </c>
    </row>
    <row r="33" spans="1:10" ht="15.75" customHeight="1">
      <c r="A33" s="11" t="s">
        <v>36</v>
      </c>
      <c r="B33" s="12">
        <f>'2012全市执行情况表'!C32</f>
        <v>371006</v>
      </c>
      <c r="C33" s="12">
        <f>'2012全市执行情况表'!D32</f>
        <v>445308</v>
      </c>
      <c r="D33" s="12">
        <f>SUM(D34:D36)</f>
        <v>438521</v>
      </c>
      <c r="E33" s="21">
        <f>(D33-C33)/C33</f>
        <v>-0.015241136471835224</v>
      </c>
      <c r="F33" s="30" t="s">
        <v>27</v>
      </c>
      <c r="G33" s="164">
        <f>'2012全市执行情况表'!J32</f>
        <v>0</v>
      </c>
      <c r="H33" s="164">
        <f>'2012全市执行情况表'!K32</f>
        <v>0</v>
      </c>
      <c r="I33" s="34"/>
      <c r="J33" s="166"/>
    </row>
    <row r="34" spans="1:10" ht="15.75" customHeight="1">
      <c r="A34" s="11" t="s">
        <v>38</v>
      </c>
      <c r="B34" s="12">
        <f>'2012全市执行情况表'!C33</f>
        <v>62502</v>
      </c>
      <c r="C34" s="12">
        <f>'2012全市执行情况表'!D33</f>
        <v>49197</v>
      </c>
      <c r="D34" s="30">
        <v>52000</v>
      </c>
      <c r="E34" s="21">
        <f>(D34-C34)/C34</f>
        <v>0.056975018801959466</v>
      </c>
      <c r="F34" s="16" t="s">
        <v>43</v>
      </c>
      <c r="G34" s="164">
        <f>'2012全市执行情况表'!J33</f>
        <v>0</v>
      </c>
      <c r="H34" s="164">
        <f>'2012全市执行情况表'!K33</f>
        <v>0</v>
      </c>
      <c r="I34" s="34"/>
      <c r="J34" s="166"/>
    </row>
    <row r="35" spans="1:10" ht="15.75" customHeight="1">
      <c r="A35" s="15" t="s">
        <v>37</v>
      </c>
      <c r="B35" s="12">
        <f>'2012全市执行情况表'!C34</f>
        <v>90439</v>
      </c>
      <c r="C35" s="12">
        <f>'2012全市执行情况表'!D34</f>
        <v>98102</v>
      </c>
      <c r="D35" s="30">
        <f>140900-52000+14553</f>
        <v>103453</v>
      </c>
      <c r="E35" s="21">
        <f>(D35-C35)/C35</f>
        <v>0.05454526920959817</v>
      </c>
      <c r="F35" s="16" t="s">
        <v>44</v>
      </c>
      <c r="G35" s="164">
        <f>'2012全市执行情况表'!J34</f>
        <v>0</v>
      </c>
      <c r="H35" s="164">
        <f>'2012全市执行情况表'!K34</f>
        <v>0</v>
      </c>
      <c r="I35" s="34"/>
      <c r="J35" s="166"/>
    </row>
    <row r="36" spans="1:10" ht="15.75" customHeight="1">
      <c r="A36" s="11" t="s">
        <v>39</v>
      </c>
      <c r="B36" s="12">
        <f>'2012全市执行情况表'!C35</f>
        <v>218065</v>
      </c>
      <c r="C36" s="12">
        <f>'2012全市执行情况表'!D35</f>
        <v>298009</v>
      </c>
      <c r="D36" s="30">
        <v>283068</v>
      </c>
      <c r="E36" s="21">
        <f>(D36-C36)/C36</f>
        <v>-0.05013606971601529</v>
      </c>
      <c r="F36" s="16" t="s">
        <v>45</v>
      </c>
      <c r="G36" s="164">
        <f>'2012全市执行情况表'!J35</f>
        <v>0</v>
      </c>
      <c r="H36" s="164">
        <f>'2012全市执行情况表'!K35</f>
        <v>0</v>
      </c>
      <c r="I36" s="34"/>
      <c r="J36" s="166"/>
    </row>
    <row r="37" spans="1:10" ht="15.75" customHeight="1">
      <c r="A37" s="11" t="s">
        <v>40</v>
      </c>
      <c r="B37" s="12">
        <f>'2012全市执行情况表'!C36</f>
        <v>32000</v>
      </c>
      <c r="C37" s="12">
        <f>'2012全市执行情况表'!D36</f>
        <v>32000</v>
      </c>
      <c r="D37" s="12"/>
      <c r="E37" s="21"/>
      <c r="F37" s="16" t="s">
        <v>46</v>
      </c>
      <c r="G37" s="164">
        <f>'2012全市执行情况表'!J36</f>
        <v>0</v>
      </c>
      <c r="H37" s="164">
        <f>'2012全市执行情况表'!K36</f>
        <v>0</v>
      </c>
      <c r="I37" s="34"/>
      <c r="J37" s="166"/>
    </row>
    <row r="38" spans="1:17" ht="15.75" customHeight="1">
      <c r="A38" s="11" t="s">
        <v>283</v>
      </c>
      <c r="B38" s="12">
        <f>'2012全市执行情况表'!C37</f>
        <v>37069</v>
      </c>
      <c r="C38" s="12">
        <f>'2012全市执行情况表'!D37</f>
        <v>38191</v>
      </c>
      <c r="D38" s="167">
        <f>SUM(D39:D40)</f>
        <v>59779</v>
      </c>
      <c r="E38" s="21">
        <f>(D38-C38)/C38</f>
        <v>0.5652640674504464</v>
      </c>
      <c r="F38" s="30" t="s">
        <v>32</v>
      </c>
      <c r="G38" s="164">
        <f>'2012全市执行情况表'!J37</f>
        <v>33000</v>
      </c>
      <c r="H38" s="164">
        <f>'2012全市执行情况表'!K37</f>
        <v>49553</v>
      </c>
      <c r="I38" s="155">
        <f>57553+2000</f>
        <v>59553</v>
      </c>
      <c r="J38" s="157">
        <f>(I38-H38)/H38</f>
        <v>0.20180412891247754</v>
      </c>
      <c r="Q38" s="58">
        <v>62992</v>
      </c>
    </row>
    <row r="39" spans="1:10" ht="15.75" customHeight="1">
      <c r="A39" s="37" t="s">
        <v>284</v>
      </c>
      <c r="B39" s="12">
        <f>'2012全市执行情况表'!C38</f>
        <v>36679</v>
      </c>
      <c r="C39" s="12">
        <f>'2012全市执行情况表'!D38</f>
        <v>37266</v>
      </c>
      <c r="D39" s="12">
        <f>H49</f>
        <v>57219</v>
      </c>
      <c r="E39" s="21">
        <f>(D39-C39)/C39</f>
        <v>0.5354210272097891</v>
      </c>
      <c r="F39" s="30" t="s">
        <v>132</v>
      </c>
      <c r="G39" s="164">
        <f>'2012全市执行情况表'!J38</f>
        <v>7000</v>
      </c>
      <c r="H39" s="164">
        <f>'2012全市执行情况表'!K38</f>
        <v>0</v>
      </c>
      <c r="I39" s="155">
        <v>12400</v>
      </c>
      <c r="J39" s="157"/>
    </row>
    <row r="40" spans="1:10" ht="15.75" customHeight="1">
      <c r="A40" s="37" t="s">
        <v>285</v>
      </c>
      <c r="B40" s="12">
        <f>'2012全市执行情况表'!C39</f>
        <v>390</v>
      </c>
      <c r="C40" s="12">
        <f>'2012全市执行情况表'!D39</f>
        <v>925</v>
      </c>
      <c r="D40" s="12">
        <f>H50</f>
        <v>2560</v>
      </c>
      <c r="E40" s="21">
        <f>(D40-C40)/C40</f>
        <v>1.7675675675675675</v>
      </c>
      <c r="F40" s="30" t="s">
        <v>286</v>
      </c>
      <c r="G40" s="164">
        <f>'2012全市执行情况表'!J39</f>
        <v>12000</v>
      </c>
      <c r="H40" s="164">
        <f>'2012全市执行情况表'!K39</f>
        <v>10290</v>
      </c>
      <c r="I40" s="155">
        <v>11000</v>
      </c>
      <c r="J40" s="157">
        <f>(I40-H40)/H40</f>
        <v>0.06899902818270165</v>
      </c>
    </row>
    <row r="41" spans="1:10" ht="15.75" customHeight="1">
      <c r="A41" s="11" t="s">
        <v>227</v>
      </c>
      <c r="B41" s="12">
        <f>'2012全市执行情况表'!C40</f>
        <v>0</v>
      </c>
      <c r="C41" s="12">
        <f>'2012全市执行情况表'!D40</f>
        <v>49966</v>
      </c>
      <c r="D41" s="36">
        <f>SUM(D42:D44)</f>
        <v>0</v>
      </c>
      <c r="E41" s="21"/>
      <c r="F41" s="30" t="s">
        <v>76</v>
      </c>
      <c r="G41" s="164">
        <f>'2012全市执行情况表'!J40</f>
        <v>0</v>
      </c>
      <c r="H41" s="164">
        <f>'2012全市执行情况表'!K40</f>
        <v>0</v>
      </c>
      <c r="I41" s="155"/>
      <c r="J41" s="168"/>
    </row>
    <row r="42" spans="1:10" ht="15.75" customHeight="1">
      <c r="A42" s="11" t="s">
        <v>41</v>
      </c>
      <c r="B42" s="12">
        <f>'2012全市执行情况表'!C41</f>
        <v>0</v>
      </c>
      <c r="C42" s="12">
        <f>'2012全市执行情况表'!D41</f>
        <v>43350</v>
      </c>
      <c r="D42" s="30"/>
      <c r="E42" s="21"/>
      <c r="F42" s="30" t="s">
        <v>192</v>
      </c>
      <c r="G42" s="164">
        <f>'2012全市执行情况表'!J41</f>
        <v>0</v>
      </c>
      <c r="H42" s="164">
        <f>'2012全市执行情况表'!K41</f>
        <v>43350</v>
      </c>
      <c r="I42" s="155"/>
      <c r="J42" s="157"/>
    </row>
    <row r="43" spans="1:10" ht="15.75" customHeight="1">
      <c r="A43" s="11" t="s">
        <v>104</v>
      </c>
      <c r="B43" s="12">
        <f>'2012全市执行情况表'!C42</f>
        <v>0</v>
      </c>
      <c r="C43" s="12">
        <f>'2012全市执行情况表'!D42</f>
        <v>0</v>
      </c>
      <c r="D43" s="12"/>
      <c r="E43" s="21"/>
      <c r="F43" s="16"/>
      <c r="G43" s="164">
        <f>'2012全市执行情况表'!J42</f>
        <v>0</v>
      </c>
      <c r="H43" s="164">
        <f>'2012全市执行情况表'!K42</f>
        <v>0</v>
      </c>
      <c r="I43" s="155"/>
      <c r="J43" s="157"/>
    </row>
    <row r="44" spans="1:10" ht="15.75" customHeight="1">
      <c r="A44" s="15" t="s">
        <v>42</v>
      </c>
      <c r="B44" s="12">
        <f>'2012全市执行情况表'!C43</f>
        <v>0</v>
      </c>
      <c r="C44" s="12">
        <f>'2012全市执行情况表'!D43</f>
        <v>6616</v>
      </c>
      <c r="D44" s="12"/>
      <c r="E44" s="21"/>
      <c r="F44" s="16"/>
      <c r="G44" s="164">
        <f>'2012全市执行情况表'!J43</f>
        <v>0</v>
      </c>
      <c r="H44" s="164">
        <f>'2012全市执行情况表'!K43</f>
        <v>0</v>
      </c>
      <c r="I44" s="155"/>
      <c r="J44" s="157"/>
    </row>
    <row r="45" spans="1:10" ht="15.75" customHeight="1">
      <c r="A45" s="15"/>
      <c r="B45" s="12"/>
      <c r="C45" s="12"/>
      <c r="D45" s="12"/>
      <c r="E45" s="21"/>
      <c r="F45" s="16"/>
      <c r="G45" s="164"/>
      <c r="H45" s="164"/>
      <c r="I45" s="155"/>
      <c r="J45" s="157"/>
    </row>
    <row r="46" spans="1:10" ht="15.75" customHeight="1">
      <c r="A46" s="55" t="s">
        <v>206</v>
      </c>
      <c r="B46" s="56">
        <f>'2012全市执行情况表'!C45</f>
        <v>1141005</v>
      </c>
      <c r="C46" s="56">
        <f>'2012全市执行情况表'!D45</f>
        <v>1297147</v>
      </c>
      <c r="D46" s="56">
        <f>SUM(D30,D32)</f>
        <v>1339560</v>
      </c>
      <c r="E46" s="158">
        <f>(D46-C46)/C46</f>
        <v>0.03269714226683637</v>
      </c>
      <c r="F46" s="60" t="s">
        <v>208</v>
      </c>
      <c r="G46" s="169">
        <f>'2012全市执行情况表'!J45</f>
        <v>1140605</v>
      </c>
      <c r="H46" s="169">
        <f>'2012全市执行情况表'!K45</f>
        <v>1237368</v>
      </c>
      <c r="I46" s="169">
        <f>SUM(I30,I32)</f>
        <v>1339260</v>
      </c>
      <c r="J46" s="166">
        <f>(I46-H46)/H46</f>
        <v>0.08234575324398238</v>
      </c>
    </row>
    <row r="47" spans="1:10" ht="15.75" customHeight="1">
      <c r="A47" s="15"/>
      <c r="B47" s="12"/>
      <c r="C47" s="12"/>
      <c r="D47" s="12"/>
      <c r="E47" s="21"/>
      <c r="F47" s="16"/>
      <c r="G47" s="164"/>
      <c r="H47" s="164"/>
      <c r="I47" s="155"/>
      <c r="J47" s="157"/>
    </row>
    <row r="48" spans="1:10" ht="15.75" customHeight="1">
      <c r="A48" s="55"/>
      <c r="B48" s="56"/>
      <c r="C48" s="56"/>
      <c r="D48" s="56"/>
      <c r="E48" s="158"/>
      <c r="F48" s="124" t="s">
        <v>183</v>
      </c>
      <c r="G48" s="169">
        <f>SUM(G49:G50)</f>
        <v>400</v>
      </c>
      <c r="H48" s="169">
        <f>SUM(H49:H50)</f>
        <v>59779</v>
      </c>
      <c r="I48" s="169">
        <f>SUM(I49:I50)</f>
        <v>300</v>
      </c>
      <c r="J48" s="166"/>
    </row>
    <row r="49" spans="1:10" ht="15.75" customHeight="1">
      <c r="A49" s="15"/>
      <c r="B49" s="12"/>
      <c r="C49" s="12"/>
      <c r="D49" s="12"/>
      <c r="E49" s="21"/>
      <c r="F49" s="16" t="s">
        <v>281</v>
      </c>
      <c r="G49" s="164"/>
      <c r="H49" s="164">
        <f>'2012全市执行情况表'!K48</f>
        <v>57219</v>
      </c>
      <c r="I49" s="155"/>
      <c r="J49" s="157"/>
    </row>
    <row r="50" spans="1:10" ht="15.75" customHeight="1">
      <c r="A50" s="15"/>
      <c r="B50" s="12"/>
      <c r="C50" s="12"/>
      <c r="D50" s="12"/>
      <c r="E50" s="21"/>
      <c r="F50" s="16" t="s">
        <v>282</v>
      </c>
      <c r="G50" s="164">
        <f>'2012全市执行情况表'!J49</f>
        <v>400</v>
      </c>
      <c r="H50" s="164">
        <f>'2012全市执行情况表'!K49</f>
        <v>2560</v>
      </c>
      <c r="I50" s="155">
        <v>300</v>
      </c>
      <c r="J50" s="157"/>
    </row>
    <row r="51" spans="1:10" ht="15.75" customHeight="1">
      <c r="A51" s="98"/>
      <c r="B51" s="98"/>
      <c r="C51" s="98"/>
      <c r="D51" s="98"/>
      <c r="E51" s="98"/>
      <c r="F51" s="98"/>
      <c r="G51" s="98"/>
      <c r="H51" s="98"/>
      <c r="I51" s="98"/>
      <c r="J51" s="98"/>
    </row>
    <row r="52" spans="1:10" ht="15.75" customHeight="1">
      <c r="A52" s="99"/>
      <c r="B52" s="99"/>
      <c r="C52" s="99"/>
      <c r="D52" s="99"/>
      <c r="E52" s="99"/>
      <c r="F52" s="99"/>
      <c r="G52" s="99"/>
      <c r="H52" s="99"/>
      <c r="I52" s="99"/>
      <c r="J52" s="99"/>
    </row>
    <row r="53" spans="1:10" ht="15.75" customHeight="1">
      <c r="A53" s="61"/>
      <c r="B53" s="62"/>
      <c r="C53" s="62"/>
      <c r="D53" s="62"/>
      <c r="E53" s="62"/>
      <c r="F53" s="63"/>
      <c r="G53" s="64"/>
      <c r="H53" s="64"/>
      <c r="I53" s="64"/>
      <c r="J53" s="64"/>
    </row>
    <row r="54" spans="7:9" ht="15.75" customHeight="1">
      <c r="G54" s="65"/>
      <c r="H54" s="65"/>
      <c r="I54" s="65"/>
    </row>
    <row r="55" spans="4:10" ht="15.75" customHeight="1">
      <c r="D55" s="58"/>
      <c r="E55" s="58"/>
      <c r="G55" s="58"/>
      <c r="I55" s="58"/>
      <c r="J55" s="58"/>
    </row>
    <row r="56" spans="4:10" ht="13.5" customHeight="1">
      <c r="D56" s="58"/>
      <c r="E56" s="58"/>
      <c r="G56" s="58"/>
      <c r="I56" s="58"/>
      <c r="J56" s="58"/>
    </row>
    <row r="57" spans="4:10" ht="13.5" customHeight="1">
      <c r="D57" s="58"/>
      <c r="E57" s="58"/>
      <c r="G57" s="58"/>
      <c r="I57" s="58"/>
      <c r="J57" s="58"/>
    </row>
    <row r="58" spans="4:12" ht="13.5" customHeight="1">
      <c r="D58" s="66"/>
      <c r="E58" s="66"/>
      <c r="F58" s="66"/>
      <c r="G58" s="66"/>
      <c r="H58" s="66"/>
      <c r="I58" s="66"/>
      <c r="J58" s="66"/>
      <c r="K58" s="66"/>
      <c r="L58" s="66"/>
    </row>
    <row r="59" spans="1:3" s="66" customFormat="1" ht="13.5" customHeight="1">
      <c r="A59" s="58"/>
      <c r="B59" s="59"/>
      <c r="C59" s="59"/>
    </row>
    <row r="60" spans="1:3" s="66" customFormat="1" ht="13.5" customHeight="1">
      <c r="A60" s="58"/>
      <c r="B60" s="59"/>
      <c r="C60" s="59"/>
    </row>
    <row r="61" spans="1:12" s="66" customFormat="1" ht="13.5" customHeight="1">
      <c r="A61" s="58"/>
      <c r="B61" s="59"/>
      <c r="C61" s="59"/>
      <c r="D61" s="59"/>
      <c r="E61" s="59"/>
      <c r="F61" s="58"/>
      <c r="G61" s="59"/>
      <c r="H61" s="59"/>
      <c r="I61" s="67"/>
      <c r="J61" s="59"/>
      <c r="K61" s="58"/>
      <c r="L61" s="58"/>
    </row>
  </sheetData>
  <mergeCells count="9">
    <mergeCell ref="A2:J2"/>
    <mergeCell ref="A4:C4"/>
    <mergeCell ref="F4:J4"/>
    <mergeCell ref="D5:E5"/>
    <mergeCell ref="B5:C5"/>
    <mergeCell ref="G5:H5"/>
    <mergeCell ref="I5:J5"/>
    <mergeCell ref="A5:A6"/>
    <mergeCell ref="F5:F6"/>
  </mergeCells>
  <printOptions horizontalCentered="1" verticalCentered="1"/>
  <pageMargins left="0" right="0" top="0.18" bottom="0.15" header="0.2" footer="0.14"/>
  <pageSetup fitToHeight="1" fitToWidth="1" horizontalDpi="600" verticalDpi="600" orientation="landscape" paperSize="8" scale="97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N69"/>
  <sheetViews>
    <sheetView showZeros="0" zoomScaleSheetLayoutView="120" workbookViewId="0" topLeftCell="A1">
      <pane xSplit="1" ySplit="6" topLeftCell="B13" activePane="bottomRight" state="frozen"/>
      <selection pane="topLeft" activeCell="J52" sqref="J52"/>
      <selection pane="topRight" activeCell="J52" sqref="J52"/>
      <selection pane="bottomLeft" activeCell="J52" sqref="J52"/>
      <selection pane="bottomRight" activeCell="I35" sqref="I35"/>
    </sheetView>
  </sheetViews>
  <sheetFormatPr defaultColWidth="9.00390625" defaultRowHeight="14.25"/>
  <cols>
    <col min="1" max="1" width="27.625" style="58" customWidth="1"/>
    <col min="2" max="4" width="13.125" style="59" customWidth="1"/>
    <col min="5" max="5" width="13.50390625" style="59" customWidth="1"/>
    <col min="6" max="6" width="32.125" style="58" customWidth="1"/>
    <col min="7" max="10" width="13.375" style="59" customWidth="1"/>
    <col min="11" max="11" width="9.50390625" style="58" hidden="1" customWidth="1"/>
    <col min="12" max="14" width="0" style="58" hidden="1" customWidth="1"/>
    <col min="15" max="16384" width="9.00390625" style="58" customWidth="1"/>
  </cols>
  <sheetData>
    <row r="1" spans="1:10" ht="13.5" customHeight="1">
      <c r="A1" s="1" t="s">
        <v>133</v>
      </c>
      <c r="B1" s="2"/>
      <c r="C1" s="2"/>
      <c r="D1" s="2"/>
      <c r="E1" s="2"/>
      <c r="F1" s="2"/>
      <c r="G1" s="2"/>
      <c r="H1" s="2"/>
      <c r="I1" s="2"/>
      <c r="J1" s="2"/>
    </row>
    <row r="2" spans="1:10" ht="19.5" customHeight="1">
      <c r="A2" s="280" t="s">
        <v>237</v>
      </c>
      <c r="B2" s="280"/>
      <c r="C2" s="280"/>
      <c r="D2" s="280"/>
      <c r="E2" s="280"/>
      <c r="F2" s="280"/>
      <c r="G2" s="280"/>
      <c r="H2" s="280"/>
      <c r="I2" s="280"/>
      <c r="J2" s="280"/>
    </row>
    <row r="3" spans="1:10" ht="11.25" customHeight="1">
      <c r="A3" s="51"/>
      <c r="B3" s="4"/>
      <c r="C3" s="4"/>
      <c r="D3" s="4"/>
      <c r="E3" s="4"/>
      <c r="F3" s="4"/>
      <c r="G3" s="4"/>
      <c r="H3" s="4"/>
      <c r="I3" s="4"/>
      <c r="J3" s="5" t="s">
        <v>80</v>
      </c>
    </row>
    <row r="4" spans="1:10" ht="15.75" customHeight="1">
      <c r="A4" s="93" t="s">
        <v>56</v>
      </c>
      <c r="B4" s="94"/>
      <c r="C4" s="94"/>
      <c r="D4" s="6"/>
      <c r="E4" s="6"/>
      <c r="F4" s="284" t="s">
        <v>134</v>
      </c>
      <c r="G4" s="284"/>
      <c r="H4" s="284"/>
      <c r="I4" s="284"/>
      <c r="J4" s="284"/>
    </row>
    <row r="5" spans="1:10" ht="15.75" customHeight="1">
      <c r="A5" s="278" t="s">
        <v>55</v>
      </c>
      <c r="B5" s="300" t="s">
        <v>77</v>
      </c>
      <c r="C5" s="290"/>
      <c r="D5" s="278" t="s">
        <v>187</v>
      </c>
      <c r="E5" s="278"/>
      <c r="F5" s="279" t="s">
        <v>82</v>
      </c>
      <c r="G5" s="284" t="s">
        <v>77</v>
      </c>
      <c r="H5" s="284"/>
      <c r="I5" s="284" t="s">
        <v>187</v>
      </c>
      <c r="J5" s="284"/>
    </row>
    <row r="6" spans="1:10" ht="44.25" customHeight="1">
      <c r="A6" s="278"/>
      <c r="B6" s="7" t="s">
        <v>10</v>
      </c>
      <c r="C6" s="7" t="s">
        <v>11</v>
      </c>
      <c r="D6" s="7" t="s">
        <v>4</v>
      </c>
      <c r="E6" s="7" t="s">
        <v>72</v>
      </c>
      <c r="F6" s="279"/>
      <c r="G6" s="7" t="s">
        <v>12</v>
      </c>
      <c r="H6" s="7" t="s">
        <v>11</v>
      </c>
      <c r="I6" s="32" t="s">
        <v>5</v>
      </c>
      <c r="J6" s="7" t="s">
        <v>72</v>
      </c>
    </row>
    <row r="7" spans="1:12" ht="16.5" customHeight="1">
      <c r="A7" s="54" t="s">
        <v>85</v>
      </c>
      <c r="B7" s="153">
        <f>'2012市本级执行情况表'!C7</f>
        <v>448383.48600000003</v>
      </c>
      <c r="C7" s="153">
        <f>'2012市本级执行情况表'!D7</f>
        <v>472648</v>
      </c>
      <c r="D7" s="68">
        <f>SUM(D8:D20)</f>
        <v>548999</v>
      </c>
      <c r="E7" s="154">
        <f aca="true" t="shared" si="0" ref="E7:E22">(D7-C7)/C7</f>
        <v>0.16153881958666916</v>
      </c>
      <c r="F7" s="8" t="s">
        <v>86</v>
      </c>
      <c r="G7" s="16">
        <f>'2012市本级执行情况表'!I7</f>
        <v>81453</v>
      </c>
      <c r="H7" s="16">
        <f>'2012市本级执行情况表'!J7</f>
        <v>98320</v>
      </c>
      <c r="I7" s="155">
        <v>100087</v>
      </c>
      <c r="J7" s="9">
        <f>(I7-H7)/H7</f>
        <v>0.017971928397070788</v>
      </c>
      <c r="K7" s="59"/>
      <c r="L7" s="58">
        <v>-1500</v>
      </c>
    </row>
    <row r="8" spans="1:11" ht="16.5" customHeight="1">
      <c r="A8" s="31" t="s">
        <v>135</v>
      </c>
      <c r="B8" s="12">
        <f>'2012市本级执行情况表'!C8</f>
        <v>27048.735999999997</v>
      </c>
      <c r="C8" s="12">
        <f>'2012市本级执行情况表'!D8</f>
        <v>24377</v>
      </c>
      <c r="D8" s="30">
        <v>27211</v>
      </c>
      <c r="E8" s="21">
        <f t="shared" si="0"/>
        <v>0.11625712762029781</v>
      </c>
      <c r="F8" s="8" t="s">
        <v>87</v>
      </c>
      <c r="G8" s="16">
        <f>'2012市本级执行情况表'!I8</f>
        <v>0</v>
      </c>
      <c r="H8" s="16">
        <f>'2012市本级执行情况表'!J8</f>
        <v>0</v>
      </c>
      <c r="I8" s="155">
        <f>'[1]2011支出预算分科目'!C9</f>
        <v>0</v>
      </c>
      <c r="J8" s="9"/>
      <c r="K8" s="59"/>
    </row>
    <row r="9" spans="1:11" ht="16.5" customHeight="1">
      <c r="A9" s="31" t="s">
        <v>136</v>
      </c>
      <c r="B9" s="12">
        <f>'2012市本级执行情况表'!C9</f>
        <v>135227.75</v>
      </c>
      <c r="C9" s="12">
        <f>'2012市本级执行情况表'!D9</f>
        <v>112523</v>
      </c>
      <c r="D9" s="30">
        <v>131802</v>
      </c>
      <c r="E9" s="156">
        <f t="shared" si="0"/>
        <v>0.17133386063293726</v>
      </c>
      <c r="F9" s="8" t="s">
        <v>88</v>
      </c>
      <c r="G9" s="16">
        <f>'2012市本级执行情况表'!I9</f>
        <v>2215</v>
      </c>
      <c r="H9" s="16">
        <f>'2012市本级执行情况表'!J9</f>
        <v>3284</v>
      </c>
      <c r="I9" s="155">
        <v>3753</v>
      </c>
      <c r="J9" s="9">
        <f aca="true" t="shared" si="1" ref="J9:J24">(I9-H9)/H9</f>
        <v>0.1428136419001218</v>
      </c>
      <c r="K9" s="59"/>
    </row>
    <row r="10" spans="1:11" ht="16.5" customHeight="1">
      <c r="A10" s="31" t="s">
        <v>137</v>
      </c>
      <c r="B10" s="12">
        <f>'2012市本级执行情况表'!C10</f>
        <v>52228.8</v>
      </c>
      <c r="C10" s="12">
        <f>'2012市本级执行情况表'!D10</f>
        <v>51313</v>
      </c>
      <c r="D10" s="30">
        <v>59881</v>
      </c>
      <c r="E10" s="156">
        <f t="shared" si="0"/>
        <v>0.16697523044842438</v>
      </c>
      <c r="F10" s="50" t="s">
        <v>89</v>
      </c>
      <c r="G10" s="16">
        <f>'2012市本级执行情况表'!I10</f>
        <v>70438</v>
      </c>
      <c r="H10" s="16">
        <f>'2012市本级执行情况表'!J10</f>
        <v>76631</v>
      </c>
      <c r="I10" s="155">
        <v>85620</v>
      </c>
      <c r="J10" s="9">
        <f t="shared" si="1"/>
        <v>0.11730239720217667</v>
      </c>
      <c r="K10" s="59"/>
    </row>
    <row r="11" spans="1:14" ht="16.5" customHeight="1">
      <c r="A11" s="31" t="s">
        <v>138</v>
      </c>
      <c r="B11" s="12">
        <f>'2012市本级执行情况表'!C11</f>
        <v>11629.4</v>
      </c>
      <c r="C11" s="12">
        <f>'2012市本级执行情况表'!D11</f>
        <v>11030</v>
      </c>
      <c r="D11" s="30">
        <v>14427</v>
      </c>
      <c r="E11" s="156">
        <f t="shared" si="0"/>
        <v>0.30797824116047146</v>
      </c>
      <c r="F11" s="50" t="s">
        <v>90</v>
      </c>
      <c r="G11" s="16">
        <f>'2012市本级执行情况表'!I11</f>
        <v>113845</v>
      </c>
      <c r="H11" s="16">
        <f>'2012市本级执行情况表'!J11</f>
        <v>111506</v>
      </c>
      <c r="I11" s="155">
        <v>114326</v>
      </c>
      <c r="J11" s="157">
        <f t="shared" si="1"/>
        <v>0.025290118917367675</v>
      </c>
      <c r="K11" s="59"/>
      <c r="L11" s="58">
        <v>14114</v>
      </c>
      <c r="N11" s="58" t="s">
        <v>203</v>
      </c>
    </row>
    <row r="12" spans="1:12" ht="16.5" customHeight="1">
      <c r="A12" s="31" t="s">
        <v>139</v>
      </c>
      <c r="B12" s="12">
        <f>'2012市本级执行情况表'!C12</f>
        <v>29479.2</v>
      </c>
      <c r="C12" s="12">
        <f>'2012市本级执行情况表'!D12</f>
        <v>27952</v>
      </c>
      <c r="D12" s="30">
        <v>30957</v>
      </c>
      <c r="E12" s="156">
        <f t="shared" si="0"/>
        <v>0.10750572409845449</v>
      </c>
      <c r="F12" s="50" t="s">
        <v>91</v>
      </c>
      <c r="G12" s="16">
        <f>'2012市本级执行情况表'!I12</f>
        <v>13471</v>
      </c>
      <c r="H12" s="16">
        <f>'2012市本级执行情况表'!J12</f>
        <v>13612</v>
      </c>
      <c r="I12" s="155">
        <v>15587</v>
      </c>
      <c r="J12" s="157">
        <f t="shared" si="1"/>
        <v>0.14509256538348517</v>
      </c>
      <c r="K12" s="59"/>
      <c r="L12" s="58">
        <v>1000</v>
      </c>
    </row>
    <row r="13" spans="1:11" ht="16.5" customHeight="1">
      <c r="A13" s="31" t="s">
        <v>140</v>
      </c>
      <c r="B13" s="12">
        <f>'2012市本级执行情况表'!C13</f>
        <v>23400</v>
      </c>
      <c r="C13" s="12">
        <f>'2012市本级执行情况表'!D13</f>
        <v>45561</v>
      </c>
      <c r="D13" s="30">
        <f>'2013全市预算表'!D13</f>
        <v>52900</v>
      </c>
      <c r="E13" s="156">
        <f t="shared" si="0"/>
        <v>0.16108074888610874</v>
      </c>
      <c r="F13" s="50" t="s">
        <v>92</v>
      </c>
      <c r="G13" s="16">
        <f>'2012市本级执行情况表'!I13</f>
        <v>19512</v>
      </c>
      <c r="H13" s="16">
        <f>'2012市本级执行情况表'!J13</f>
        <v>16542</v>
      </c>
      <c r="I13" s="155">
        <v>17088</v>
      </c>
      <c r="J13" s="157">
        <f t="shared" si="1"/>
        <v>0.03300689154878491</v>
      </c>
      <c r="K13" s="59"/>
    </row>
    <row r="14" spans="1:14" ht="16.5" customHeight="1">
      <c r="A14" s="31" t="s">
        <v>141</v>
      </c>
      <c r="B14" s="12">
        <f>'2012市本级执行情况表'!C14</f>
        <v>1100</v>
      </c>
      <c r="C14" s="12">
        <f>'2012市本级执行情况表'!D14</f>
        <v>1176</v>
      </c>
      <c r="D14" s="30">
        <f>'2013全市预算表'!D14</f>
        <v>1440</v>
      </c>
      <c r="E14" s="156">
        <f t="shared" si="0"/>
        <v>0.22448979591836735</v>
      </c>
      <c r="F14" s="50" t="s">
        <v>93</v>
      </c>
      <c r="G14" s="16">
        <f>'2012市本级执行情况表'!I14</f>
        <v>85777</v>
      </c>
      <c r="H14" s="16">
        <f>'2012市本级执行情况表'!J14</f>
        <v>96176</v>
      </c>
      <c r="I14" s="155">
        <v>91256</v>
      </c>
      <c r="J14" s="157">
        <f t="shared" si="1"/>
        <v>-0.051156213608384626</v>
      </c>
      <c r="K14" s="59"/>
      <c r="L14" s="58">
        <v>1000</v>
      </c>
      <c r="N14" s="58" t="s">
        <v>199</v>
      </c>
    </row>
    <row r="15" spans="1:11" ht="16.5" customHeight="1">
      <c r="A15" s="31" t="s">
        <v>142</v>
      </c>
      <c r="B15" s="12">
        <f>'2012市本级执行情况表'!C15</f>
        <v>78500</v>
      </c>
      <c r="C15" s="12">
        <f>'2012市本级执行情况表'!D15</f>
        <v>68809</v>
      </c>
      <c r="D15" s="30">
        <f>'2013全市预算表'!D15</f>
        <v>79800</v>
      </c>
      <c r="E15" s="156">
        <f t="shared" si="0"/>
        <v>0.15973201180078186</v>
      </c>
      <c r="F15" s="50" t="s">
        <v>94</v>
      </c>
      <c r="G15" s="16">
        <f>'2012市本级执行情况表'!I15</f>
        <v>46544</v>
      </c>
      <c r="H15" s="16">
        <f>'2012市本级执行情况表'!J15</f>
        <v>49875</v>
      </c>
      <c r="I15" s="155">
        <v>56173</v>
      </c>
      <c r="J15" s="157">
        <f t="shared" si="1"/>
        <v>0.12627568922305765</v>
      </c>
      <c r="K15" s="59"/>
    </row>
    <row r="16" spans="1:14" ht="16.5" customHeight="1">
      <c r="A16" s="31" t="s">
        <v>143</v>
      </c>
      <c r="B16" s="12">
        <f>'2012市本级执行情况表'!C16</f>
        <v>24769.6</v>
      </c>
      <c r="C16" s="12">
        <f>'2012市本级执行情况表'!D16</f>
        <v>24238</v>
      </c>
      <c r="D16" s="30">
        <v>29031</v>
      </c>
      <c r="E16" s="21">
        <f t="shared" si="0"/>
        <v>0.1977473388893473</v>
      </c>
      <c r="F16" s="8" t="s">
        <v>95</v>
      </c>
      <c r="G16" s="16">
        <f>'2012市本级执行情况表'!I16</f>
        <v>40139</v>
      </c>
      <c r="H16" s="16">
        <f>'2012市本级执行情况表'!J16</f>
        <v>28945</v>
      </c>
      <c r="I16" s="155">
        <v>27396</v>
      </c>
      <c r="J16" s="157">
        <f t="shared" si="1"/>
        <v>-0.05351528761444118</v>
      </c>
      <c r="K16" s="59"/>
      <c r="L16" s="58">
        <v>1000</v>
      </c>
      <c r="N16" s="58" t="s">
        <v>202</v>
      </c>
    </row>
    <row r="17" spans="1:14" ht="16.5" customHeight="1">
      <c r="A17" s="31" t="s">
        <v>144</v>
      </c>
      <c r="B17" s="12">
        <f>'2012市本级执行情况表'!C17</f>
        <v>23000</v>
      </c>
      <c r="C17" s="12">
        <f>'2012市本级执行情况表'!D17</f>
        <v>19152</v>
      </c>
      <c r="D17" s="30">
        <f>'2013全市预算表'!D17</f>
        <v>20950</v>
      </c>
      <c r="E17" s="21">
        <f t="shared" si="0"/>
        <v>0.09388053467000836</v>
      </c>
      <c r="F17" s="50" t="s">
        <v>96</v>
      </c>
      <c r="G17" s="16">
        <f>'2012市本级执行情况表'!I17</f>
        <v>71355</v>
      </c>
      <c r="H17" s="16">
        <f>'2012市本级执行情况表'!J17</f>
        <v>61227</v>
      </c>
      <c r="I17" s="155">
        <v>58319</v>
      </c>
      <c r="J17" s="157">
        <f t="shared" si="1"/>
        <v>-0.047495386022506414</v>
      </c>
      <c r="K17" s="59"/>
      <c r="N17" s="58" t="s">
        <v>201</v>
      </c>
    </row>
    <row r="18" spans="1:12" ht="16.5" customHeight="1">
      <c r="A18" s="31" t="s">
        <v>145</v>
      </c>
      <c r="B18" s="12">
        <f>'2012市本级执行情况表'!C18</f>
        <v>29000</v>
      </c>
      <c r="C18" s="12">
        <f>'2012市本级执行情况表'!D18</f>
        <v>44248</v>
      </c>
      <c r="D18" s="30">
        <f>'2013全市预算表'!D18</f>
        <v>52200</v>
      </c>
      <c r="E18" s="21">
        <f t="shared" si="0"/>
        <v>0.17971433737118062</v>
      </c>
      <c r="F18" s="50" t="s">
        <v>97</v>
      </c>
      <c r="G18" s="16">
        <f>'2012市本级执行情况表'!I18</f>
        <v>69020</v>
      </c>
      <c r="H18" s="16">
        <f>'2012市本级执行情况表'!J18</f>
        <v>67737</v>
      </c>
      <c r="I18" s="155">
        <v>75842</v>
      </c>
      <c r="J18" s="157">
        <f t="shared" si="1"/>
        <v>0.1196539557405849</v>
      </c>
      <c r="K18" s="59"/>
      <c r="L18" s="58">
        <v>10146</v>
      </c>
    </row>
    <row r="19" spans="1:11" ht="16.5" customHeight="1">
      <c r="A19" s="15" t="s">
        <v>146</v>
      </c>
      <c r="B19" s="12">
        <f>'2012市本级执行情况表'!C19</f>
        <v>12000</v>
      </c>
      <c r="C19" s="12">
        <f>'2012市本级执行情况表'!D19</f>
        <v>15704</v>
      </c>
      <c r="D19" s="30">
        <f>'2013全市预算表'!D19</f>
        <v>18200</v>
      </c>
      <c r="E19" s="21">
        <f t="shared" si="0"/>
        <v>0.15894039735099338</v>
      </c>
      <c r="F19" s="8" t="s">
        <v>98</v>
      </c>
      <c r="G19" s="16">
        <f>'2012市本级执行情况表'!I19</f>
        <v>32990</v>
      </c>
      <c r="H19" s="16">
        <f>'2012市本级执行情况表'!J19</f>
        <v>52843</v>
      </c>
      <c r="I19" s="155">
        <v>55591</v>
      </c>
      <c r="J19" s="9">
        <f t="shared" si="1"/>
        <v>0.052003103533107504</v>
      </c>
      <c r="K19" s="59"/>
    </row>
    <row r="20" spans="1:11" ht="16.5" customHeight="1">
      <c r="A20" s="11" t="s">
        <v>147</v>
      </c>
      <c r="B20" s="12">
        <f>'2012市本级执行情况表'!C20</f>
        <v>1000</v>
      </c>
      <c r="C20" s="12">
        <f>'2012市本级执行情况表'!D20</f>
        <v>26565</v>
      </c>
      <c r="D20" s="30">
        <f>'2013全市预算表'!D20</f>
        <v>30200</v>
      </c>
      <c r="E20" s="21">
        <f t="shared" si="0"/>
        <v>0.13683418031244118</v>
      </c>
      <c r="F20" s="8" t="s">
        <v>67</v>
      </c>
      <c r="G20" s="16">
        <f>'2012市本级执行情况表'!I20</f>
        <v>17479</v>
      </c>
      <c r="H20" s="16">
        <f>'2012市本级执行情况表'!J20</f>
        <v>24824</v>
      </c>
      <c r="I20" s="155">
        <v>27360</v>
      </c>
      <c r="J20" s="9">
        <f t="shared" si="1"/>
        <v>0.10215920077344505</v>
      </c>
      <c r="K20" s="59"/>
    </row>
    <row r="21" spans="1:14" ht="16.5" customHeight="1">
      <c r="A21" s="54" t="s">
        <v>99</v>
      </c>
      <c r="B21" s="153">
        <f>'2012市本级执行情况表'!C21</f>
        <v>90128</v>
      </c>
      <c r="C21" s="153">
        <f>'2012市本级执行情况表'!D21</f>
        <v>93887</v>
      </c>
      <c r="D21" s="68">
        <f>SUM(D22:D27)</f>
        <v>102517</v>
      </c>
      <c r="E21" s="154">
        <f t="shared" si="0"/>
        <v>0.09191900902148327</v>
      </c>
      <c r="F21" s="8" t="s">
        <v>100</v>
      </c>
      <c r="G21" s="16">
        <f>'2012市本级执行情况表'!I21</f>
        <v>16292</v>
      </c>
      <c r="H21" s="16">
        <f>'2012市本级执行情况表'!J21</f>
        <v>15276</v>
      </c>
      <c r="I21" s="155">
        <v>25956</v>
      </c>
      <c r="J21" s="9">
        <f t="shared" si="1"/>
        <v>0.6991358994501178</v>
      </c>
      <c r="K21" s="59"/>
      <c r="N21" s="58" t="s">
        <v>200</v>
      </c>
    </row>
    <row r="22" spans="1:11" ht="16.5" customHeight="1">
      <c r="A22" s="11" t="s">
        <v>148</v>
      </c>
      <c r="B22" s="12">
        <f>'2012市本级执行情况表'!C22</f>
        <v>34300</v>
      </c>
      <c r="C22" s="12">
        <f>'2012市本级执行情况表'!D22</f>
        <v>30125</v>
      </c>
      <c r="D22" s="30">
        <f>'2013全市预算表'!D22</f>
        <v>34950</v>
      </c>
      <c r="E22" s="21">
        <f t="shared" si="0"/>
        <v>0.16016597510373445</v>
      </c>
      <c r="F22" s="8" t="s">
        <v>217</v>
      </c>
      <c r="G22" s="16"/>
      <c r="H22" s="16"/>
      <c r="I22" s="155">
        <v>153</v>
      </c>
      <c r="J22" s="9"/>
      <c r="K22" s="59"/>
    </row>
    <row r="23" spans="1:14" ht="16.5" customHeight="1">
      <c r="A23" s="31" t="s">
        <v>65</v>
      </c>
      <c r="B23" s="12">
        <f>'2012市本级执行情况表'!C23</f>
        <v>26268</v>
      </c>
      <c r="C23" s="12">
        <f>'2012市本级执行情况表'!D23</f>
        <v>32067</v>
      </c>
      <c r="D23" s="30">
        <v>35486</v>
      </c>
      <c r="E23" s="21">
        <f>(D23-C23)/C23</f>
        <v>0.10662051330027754</v>
      </c>
      <c r="F23" s="8" t="s">
        <v>218</v>
      </c>
      <c r="G23" s="16">
        <f>'2012市本级执行情况表'!I22</f>
        <v>6109</v>
      </c>
      <c r="H23" s="16">
        <f>'2012市本级执行情况表'!J22</f>
        <v>5733</v>
      </c>
      <c r="I23" s="155">
        <v>5544</v>
      </c>
      <c r="J23" s="9">
        <f t="shared" si="1"/>
        <v>-0.03296703296703297</v>
      </c>
      <c r="K23" s="59"/>
      <c r="N23" s="58" t="s">
        <v>204</v>
      </c>
    </row>
    <row r="24" spans="1:11" ht="16.5" customHeight="1">
      <c r="A24" s="33" t="s">
        <v>66</v>
      </c>
      <c r="B24" s="12">
        <f>'2012市本级执行情况表'!C24</f>
        <v>20500</v>
      </c>
      <c r="C24" s="12">
        <f>'2012市本级执行情况表'!D24</f>
        <v>20927</v>
      </c>
      <c r="D24" s="30">
        <v>24463</v>
      </c>
      <c r="E24" s="21">
        <f>(D24-C24)/C24</f>
        <v>0.16896831844029245</v>
      </c>
      <c r="F24" s="8" t="s">
        <v>219</v>
      </c>
      <c r="G24" s="16">
        <f>'2012市本级执行情况表'!I23</f>
        <v>18358</v>
      </c>
      <c r="H24" s="16">
        <f>'2012市本级执行情况表'!J23</f>
        <v>25802</v>
      </c>
      <c r="I24" s="155">
        <v>32617</v>
      </c>
      <c r="J24" s="9">
        <f t="shared" si="1"/>
        <v>0.26412681187504844</v>
      </c>
      <c r="K24" s="59"/>
    </row>
    <row r="25" spans="1:11" ht="16.5" customHeight="1">
      <c r="A25" s="11" t="s">
        <v>193</v>
      </c>
      <c r="B25" s="12">
        <f>'2012市本级执行情况表'!C26</f>
        <v>9000</v>
      </c>
      <c r="C25" s="12">
        <f>'2012市本级执行情况表'!D26</f>
        <v>10034</v>
      </c>
      <c r="D25" s="12">
        <f>8700-1542</f>
        <v>7158</v>
      </c>
      <c r="E25" s="21">
        <f>(D25-C25)/C25</f>
        <v>-0.2866254733904724</v>
      </c>
      <c r="F25" s="8" t="s">
        <v>277</v>
      </c>
      <c r="G25" s="16">
        <f>'2012市本级执行情况表'!I24</f>
        <v>4105</v>
      </c>
      <c r="H25" s="16">
        <f>'2012市本级执行情况表'!J24</f>
        <v>3592</v>
      </c>
      <c r="I25" s="155">
        <v>3576</v>
      </c>
      <c r="J25" s="9">
        <f>(I25-H25)/H25</f>
        <v>-0.004454342984409799</v>
      </c>
      <c r="K25" s="59"/>
    </row>
    <row r="26" spans="1:12" ht="16.5" customHeight="1">
      <c r="A26" s="18" t="s">
        <v>194</v>
      </c>
      <c r="B26" s="12">
        <f>'2012市本级执行情况表'!C27</f>
        <v>60</v>
      </c>
      <c r="C26" s="12">
        <f>'2012市本级执行情况表'!D27</f>
        <v>734</v>
      </c>
      <c r="D26" s="30">
        <f>'2013全市预算表'!D26-1040</f>
        <v>460</v>
      </c>
      <c r="E26" s="21">
        <f>(D26-C26)/C26</f>
        <v>-0.37329700272479566</v>
      </c>
      <c r="F26" s="8" t="s">
        <v>220</v>
      </c>
      <c r="G26" s="16">
        <f>'2012市本级执行情况表'!I25</f>
        <v>19989</v>
      </c>
      <c r="H26" s="16">
        <f>'2012市本级执行情况表'!J25</f>
        <v>9791</v>
      </c>
      <c r="I26" s="155">
        <f>SUM(I27:I28)</f>
        <v>25164</v>
      </c>
      <c r="J26" s="9">
        <f>(I26-H26)/H26</f>
        <v>1.570115412113165</v>
      </c>
      <c r="K26" s="59"/>
      <c r="L26" s="58">
        <v>2250</v>
      </c>
    </row>
    <row r="27" spans="1:11" ht="16.5" customHeight="1">
      <c r="A27" s="18"/>
      <c r="B27" s="12"/>
      <c r="C27" s="12"/>
      <c r="D27" s="30"/>
      <c r="E27" s="21"/>
      <c r="F27" s="17" t="s">
        <v>101</v>
      </c>
      <c r="G27" s="16">
        <f>'2012市本级执行情况表'!I26</f>
        <v>15000</v>
      </c>
      <c r="H27" s="16">
        <f>'2012市本级执行情况表'!J26</f>
        <v>0</v>
      </c>
      <c r="I27" s="155">
        <v>15000</v>
      </c>
      <c r="J27" s="9"/>
      <c r="K27" s="59"/>
    </row>
    <row r="28" spans="1:11" ht="16.5" customHeight="1">
      <c r="A28" s="18"/>
      <c r="B28" s="12"/>
      <c r="C28" s="12"/>
      <c r="D28" s="30"/>
      <c r="E28" s="21"/>
      <c r="F28" s="17" t="s">
        <v>131</v>
      </c>
      <c r="G28" s="16">
        <f>'2012市本级执行情况表'!I27</f>
        <v>4989</v>
      </c>
      <c r="H28" s="16">
        <f>'2012市本级执行情况表'!J27</f>
        <v>9791</v>
      </c>
      <c r="I28" s="155">
        <v>10164</v>
      </c>
      <c r="J28" s="9"/>
      <c r="K28" s="59"/>
    </row>
    <row r="29" spans="1:11" ht="14.25">
      <c r="A29" s="18"/>
      <c r="B29" s="12"/>
      <c r="C29" s="12"/>
      <c r="D29" s="30"/>
      <c r="E29" s="154"/>
      <c r="F29" s="17"/>
      <c r="G29" s="16"/>
      <c r="H29" s="16"/>
      <c r="I29" s="34"/>
      <c r="J29" s="9"/>
      <c r="K29" s="59"/>
    </row>
    <row r="30" spans="1:11" ht="14.25">
      <c r="A30" s="55" t="s">
        <v>209</v>
      </c>
      <c r="B30" s="56">
        <f>'2012市本级执行情况表'!C29</f>
        <v>538512.486</v>
      </c>
      <c r="C30" s="56">
        <f>'2012市本级执行情况表'!D29</f>
        <v>566537</v>
      </c>
      <c r="D30" s="69">
        <f>SUM(D7,D21)+1</f>
        <v>651517</v>
      </c>
      <c r="E30" s="158">
        <f>(D30-C30)/C30</f>
        <v>0.14999902918962044</v>
      </c>
      <c r="F30" s="57" t="s">
        <v>211</v>
      </c>
      <c r="G30" s="56">
        <f>'2012市本级执行情况表'!I29</f>
        <v>729092</v>
      </c>
      <c r="H30" s="56">
        <f>'2012市本级执行情况表'!J29</f>
        <v>761716</v>
      </c>
      <c r="I30" s="56">
        <f>SUM(I7:I26)-1</f>
        <v>821407</v>
      </c>
      <c r="J30" s="159">
        <f>(I30-H30)/H30</f>
        <v>0.07836385214436876</v>
      </c>
      <c r="K30" s="59"/>
    </row>
    <row r="31" spans="1:11" ht="16.5" customHeight="1">
      <c r="A31" s="55"/>
      <c r="B31" s="56">
        <f>'2012市本级执行情况表'!C30</f>
        <v>0</v>
      </c>
      <c r="C31" s="56">
        <f>'2012市本级执行情况表'!D30</f>
        <v>0</v>
      </c>
      <c r="D31" s="69"/>
      <c r="E31" s="158"/>
      <c r="F31" s="81"/>
      <c r="G31" s="56">
        <f>'2012市本级执行情况表'!I30</f>
        <v>0</v>
      </c>
      <c r="H31" s="56">
        <f>'2012市本级执行情况表'!J30</f>
        <v>0</v>
      </c>
      <c r="I31" s="56"/>
      <c r="J31" s="160"/>
      <c r="K31" s="59">
        <v>697582</v>
      </c>
    </row>
    <row r="32" spans="1:10" ht="16.5" customHeight="1">
      <c r="A32" s="88" t="s">
        <v>3</v>
      </c>
      <c r="B32" s="56">
        <f>'2012市本级执行情况表'!C31</f>
        <v>533556</v>
      </c>
      <c r="C32" s="56">
        <f>'2012市本级执行情况表'!D31</f>
        <v>650665</v>
      </c>
      <c r="D32" s="56">
        <f>SUM(D34:D38)+D41+D45</f>
        <v>580690</v>
      </c>
      <c r="E32" s="158">
        <f>(D32-C32)/C32</f>
        <v>-0.10754382055281904</v>
      </c>
      <c r="F32" s="86" t="s">
        <v>185</v>
      </c>
      <c r="G32" s="56">
        <f>SUM(G33,G38,G40,G42)+G39+G41</f>
        <v>342776</v>
      </c>
      <c r="H32" s="56">
        <f>SUM(H33,H38,H40,H42)+H39+H41</f>
        <v>396317</v>
      </c>
      <c r="I32" s="56">
        <f>SUM(I33,I38,I40,I42)+I39+I41</f>
        <v>410600</v>
      </c>
      <c r="J32" s="159">
        <f>(I32-H32)/H32</f>
        <v>0.03603933215077829</v>
      </c>
    </row>
    <row r="33" spans="1:10" ht="16.5" customHeight="1">
      <c r="A33" s="11" t="s">
        <v>36</v>
      </c>
      <c r="B33" s="30">
        <f>'2012市本级执行情况表'!C32</f>
        <v>371006</v>
      </c>
      <c r="C33" s="30">
        <f>'2012市本级执行情况表'!D32</f>
        <v>445308</v>
      </c>
      <c r="D33" s="30">
        <f>SUM(D34:D36)</f>
        <v>438521</v>
      </c>
      <c r="E33" s="21">
        <f>(D33-C33)/C33</f>
        <v>-0.015241136471835224</v>
      </c>
      <c r="F33" s="30" t="s">
        <v>33</v>
      </c>
      <c r="G33" s="16">
        <f>'2012市本级执行情况表'!I32</f>
        <v>290776</v>
      </c>
      <c r="H33" s="16">
        <f>'2012市本级执行情况表'!J32</f>
        <v>293124</v>
      </c>
      <c r="I33" s="161">
        <f>SUM(I34:I37)</f>
        <v>327647</v>
      </c>
      <c r="J33" s="9">
        <f>(I33-H33)/H33</f>
        <v>0.11777609475853222</v>
      </c>
    </row>
    <row r="34" spans="1:10" ht="16.5" customHeight="1">
      <c r="A34" s="11" t="s">
        <v>35</v>
      </c>
      <c r="B34" s="30">
        <f>'2012市本级执行情况表'!C33</f>
        <v>62502</v>
      </c>
      <c r="C34" s="30">
        <f>'2012市本级执行情况表'!D33</f>
        <v>49197</v>
      </c>
      <c r="D34" s="30">
        <f>'2013全市预算表'!D34</f>
        <v>52000</v>
      </c>
      <c r="E34" s="21">
        <f>(D34-C34)/C34</f>
        <v>0.056975018801959466</v>
      </c>
      <c r="F34" s="16" t="s">
        <v>28</v>
      </c>
      <c r="G34" s="16">
        <f>'2012市本级执行情况表'!I33</f>
        <v>38126</v>
      </c>
      <c r="H34" s="16">
        <f>'2012市本级执行情况表'!J33</f>
        <v>38296</v>
      </c>
      <c r="I34" s="161">
        <f>35000+2600+7000</f>
        <v>44600</v>
      </c>
      <c r="J34" s="9">
        <f>(I34-H34)/H34</f>
        <v>0.16461249216628368</v>
      </c>
    </row>
    <row r="35" spans="1:10" ht="16.5" customHeight="1">
      <c r="A35" s="15" t="s">
        <v>47</v>
      </c>
      <c r="B35" s="30">
        <f>'2012市本级执行情况表'!C34</f>
        <v>90439</v>
      </c>
      <c r="C35" s="30">
        <f>'2012市本级执行情况表'!D34</f>
        <v>98102</v>
      </c>
      <c r="D35" s="30">
        <f>'2013全市预算表'!D35</f>
        <v>103453</v>
      </c>
      <c r="E35" s="21">
        <f>(D35-C35)/C35</f>
        <v>0.05454526920959817</v>
      </c>
      <c r="F35" s="16" t="s">
        <v>29</v>
      </c>
      <c r="G35" s="16">
        <f>'2012市本级执行情况表'!I34</f>
        <v>187688</v>
      </c>
      <c r="H35" s="16">
        <f>'2012市本级执行情况表'!J34</f>
        <v>182226</v>
      </c>
      <c r="I35" s="34">
        <f>187560-839+839-610</f>
        <v>186950</v>
      </c>
      <c r="J35" s="9">
        <f>(I35-H35)/H35</f>
        <v>0.025923852798173698</v>
      </c>
    </row>
    <row r="36" spans="1:10" ht="16.5" customHeight="1">
      <c r="A36" s="11" t="s">
        <v>48</v>
      </c>
      <c r="B36" s="30">
        <f>'2012市本级执行情况表'!C35</f>
        <v>218065</v>
      </c>
      <c r="C36" s="30">
        <f>'2012市本级执行情况表'!D35</f>
        <v>298009</v>
      </c>
      <c r="D36" s="30">
        <f>'2013全市预算表'!D36</f>
        <v>283068</v>
      </c>
      <c r="E36" s="21">
        <f>(D36-C36)/C36</f>
        <v>-0.05013606971601529</v>
      </c>
      <c r="F36" s="16" t="s">
        <v>30</v>
      </c>
      <c r="G36" s="16">
        <f>'2012市本级执行情况表'!I35</f>
        <v>64962</v>
      </c>
      <c r="H36" s="16">
        <f>'2012市本级执行情况表'!J35</f>
        <v>72602</v>
      </c>
      <c r="I36" s="161">
        <f>102097-6000</f>
        <v>96097</v>
      </c>
      <c r="J36" s="9">
        <f>(I36-H36)/H36</f>
        <v>0.32361367455441997</v>
      </c>
    </row>
    <row r="37" spans="1:10" ht="16.5" customHeight="1">
      <c r="A37" s="11" t="s">
        <v>40</v>
      </c>
      <c r="B37" s="30">
        <f>'2012市本级执行情况表'!C36</f>
        <v>32000</v>
      </c>
      <c r="C37" s="30">
        <f>'2012市本级执行情况表'!D36</f>
        <v>32000</v>
      </c>
      <c r="D37" s="30"/>
      <c r="E37" s="21"/>
      <c r="F37" s="38" t="s">
        <v>31</v>
      </c>
      <c r="G37" s="16">
        <f>'2012市本级执行情况表'!I36</f>
        <v>0</v>
      </c>
      <c r="H37" s="16">
        <f>'2012市本级执行情况表'!J36</f>
        <v>0</v>
      </c>
      <c r="I37" s="161"/>
      <c r="J37" s="9"/>
    </row>
    <row r="38" spans="1:10" ht="16.5" customHeight="1">
      <c r="A38" s="11" t="s">
        <v>283</v>
      </c>
      <c r="B38" s="30">
        <f>'2012市本级执行情况表'!C37</f>
        <v>36869</v>
      </c>
      <c r="C38" s="30">
        <f>'2012市本级执行情况表'!D37</f>
        <v>37581</v>
      </c>
      <c r="D38" s="36">
        <f>SUM(D39:D40)</f>
        <v>59169</v>
      </c>
      <c r="E38" s="21">
        <f>(D38-C38)/C38</f>
        <v>0.5744392113035842</v>
      </c>
      <c r="F38" s="30" t="s">
        <v>34</v>
      </c>
      <c r="G38" s="16">
        <f>'2012市本级执行情况表'!I37</f>
        <v>33000</v>
      </c>
      <c r="H38" s="16">
        <f>'2012市本级执行情况表'!J37</f>
        <v>49553</v>
      </c>
      <c r="I38" s="161">
        <f>'2013全市预算表'!I38</f>
        <v>59553</v>
      </c>
      <c r="J38" s="9">
        <f>(I38-H38)/H38</f>
        <v>0.20180412891247754</v>
      </c>
    </row>
    <row r="39" spans="1:10" ht="16.5" customHeight="1">
      <c r="A39" s="37" t="s">
        <v>284</v>
      </c>
      <c r="B39" s="30">
        <f>'2012市本级执行情况表'!C38</f>
        <v>36679</v>
      </c>
      <c r="C39" s="30">
        <f>'2012市本级执行情况表'!D38</f>
        <v>37266</v>
      </c>
      <c r="D39" s="30">
        <f>H50</f>
        <v>57219</v>
      </c>
      <c r="E39" s="21">
        <f>(D39-C39)/C39</f>
        <v>0.5354210272097891</v>
      </c>
      <c r="F39" s="30" t="s">
        <v>52</v>
      </c>
      <c r="G39" s="16">
        <f>'2012市本级执行情况表'!I38</f>
        <v>7000</v>
      </c>
      <c r="H39" s="16"/>
      <c r="I39" s="161">
        <f>'2013全市预算表'!I39</f>
        <v>12400</v>
      </c>
      <c r="J39" s="9"/>
    </row>
    <row r="40" spans="1:10" ht="16.5" customHeight="1">
      <c r="A40" s="37" t="s">
        <v>285</v>
      </c>
      <c r="B40" s="30">
        <f>'2012市本级执行情况表'!C39</f>
        <v>190</v>
      </c>
      <c r="C40" s="30">
        <f>'2012市本级执行情况表'!D39</f>
        <v>315</v>
      </c>
      <c r="D40" s="30">
        <f>H51</f>
        <v>1950</v>
      </c>
      <c r="E40" s="21">
        <f>(D40-C40)/C40</f>
        <v>5.190476190476191</v>
      </c>
      <c r="F40" s="30" t="s">
        <v>287</v>
      </c>
      <c r="G40" s="16">
        <f>'2012市本级执行情况表'!I39</f>
        <v>12000</v>
      </c>
      <c r="H40" s="16">
        <f>'2012市本级执行情况表'!J39</f>
        <v>10290</v>
      </c>
      <c r="I40" s="161">
        <f>'2013全市预算表'!I40</f>
        <v>11000</v>
      </c>
      <c r="J40" s="9">
        <f>(I40-H40)/H40</f>
        <v>0.06899902818270165</v>
      </c>
    </row>
    <row r="41" spans="1:10" ht="16.5" customHeight="1">
      <c r="A41" s="11" t="s">
        <v>227</v>
      </c>
      <c r="B41" s="30">
        <f>'2012市本级执行情况表'!C40</f>
        <v>0</v>
      </c>
      <c r="C41" s="30">
        <f>'2012市本级执行情况表'!D40</f>
        <v>49966</v>
      </c>
      <c r="D41" s="36">
        <f>SUM(D42:D43)</f>
        <v>0</v>
      </c>
      <c r="E41" s="21"/>
      <c r="F41" s="38" t="s">
        <v>75</v>
      </c>
      <c r="G41" s="16">
        <f>'2012市本级执行情况表'!I40</f>
        <v>0</v>
      </c>
      <c r="H41" s="16">
        <f>'2012市本级执行情况表'!J40</f>
        <v>0</v>
      </c>
      <c r="I41" s="162"/>
      <c r="J41" s="162"/>
    </row>
    <row r="42" spans="1:10" ht="16.5" customHeight="1">
      <c r="A42" s="11" t="s">
        <v>149</v>
      </c>
      <c r="B42" s="30">
        <f>'2012市本级执行情况表'!C41</f>
        <v>0</v>
      </c>
      <c r="C42" s="30">
        <f>'2012市本级执行情况表'!D41</f>
        <v>0</v>
      </c>
      <c r="D42" s="30"/>
      <c r="E42" s="21"/>
      <c r="F42" s="38" t="s">
        <v>191</v>
      </c>
      <c r="G42" s="16">
        <f>'2012市本级执行情况表'!I41</f>
        <v>0</v>
      </c>
      <c r="H42" s="16">
        <f>'2012市本级执行情况表'!J41</f>
        <v>43350</v>
      </c>
      <c r="I42" s="34"/>
      <c r="J42" s="9"/>
    </row>
    <row r="43" spans="1:10" ht="16.5" customHeight="1">
      <c r="A43" s="11" t="s">
        <v>150</v>
      </c>
      <c r="B43" s="30">
        <f>'2012市本级执行情况表'!C42</f>
        <v>0</v>
      </c>
      <c r="C43" s="30">
        <f>'2012市本级执行情况表'!D42</f>
        <v>43350</v>
      </c>
      <c r="D43" s="30"/>
      <c r="E43" s="21"/>
      <c r="F43" s="30"/>
      <c r="G43" s="16">
        <f>'2012市本级执行情况表'!I42</f>
        <v>0</v>
      </c>
      <c r="H43" s="16">
        <f>'2012市本级执行情况表'!J42</f>
        <v>0</v>
      </c>
      <c r="I43" s="34"/>
      <c r="J43" s="9"/>
    </row>
    <row r="44" spans="1:10" ht="16.5" customHeight="1">
      <c r="A44" s="15" t="s">
        <v>49</v>
      </c>
      <c r="B44" s="30"/>
      <c r="C44" s="30">
        <f>'2012市本级执行情况表'!D43</f>
        <v>6616</v>
      </c>
      <c r="D44" s="30"/>
      <c r="E44" s="21"/>
      <c r="F44" s="30"/>
      <c r="G44" s="16">
        <f>'2012市本级执行情况表'!I43</f>
        <v>0</v>
      </c>
      <c r="H44" s="16">
        <f>'2012市本级执行情况表'!J43</f>
        <v>0</v>
      </c>
      <c r="I44" s="34"/>
      <c r="J44" s="9"/>
    </row>
    <row r="45" spans="1:10" ht="16.5" customHeight="1">
      <c r="A45" s="11" t="s">
        <v>50</v>
      </c>
      <c r="B45" s="30">
        <f>'2012市本级执行情况表'!C44</f>
        <v>93681</v>
      </c>
      <c r="C45" s="30">
        <f>'2012市本级执行情况表'!D44</f>
        <v>85810</v>
      </c>
      <c r="D45" s="36">
        <v>83000</v>
      </c>
      <c r="E45" s="21">
        <f>(D45-C45)/C45</f>
        <v>-0.03274676611117586</v>
      </c>
      <c r="F45" s="30"/>
      <c r="G45" s="16">
        <f>'2012市本级执行情况表'!I44</f>
        <v>0</v>
      </c>
      <c r="H45" s="16">
        <f>'2012市本级执行情况表'!J44</f>
        <v>0</v>
      </c>
      <c r="I45" s="161"/>
      <c r="J45" s="9"/>
    </row>
    <row r="46" spans="1:10" ht="16.5" customHeight="1">
      <c r="A46" s="11"/>
      <c r="B46" s="30"/>
      <c r="C46" s="30"/>
      <c r="D46" s="36"/>
      <c r="E46" s="21"/>
      <c r="F46" s="30"/>
      <c r="G46" s="16"/>
      <c r="H46" s="16"/>
      <c r="I46" s="161"/>
      <c r="J46" s="9"/>
    </row>
    <row r="47" spans="1:10" ht="16.5" customHeight="1">
      <c r="A47" s="57" t="s">
        <v>210</v>
      </c>
      <c r="B47" s="56">
        <f>'2012市本级执行情况表'!C46</f>
        <v>1072068.486</v>
      </c>
      <c r="C47" s="56">
        <f>'2012市本级执行情况表'!D46</f>
        <v>1217202</v>
      </c>
      <c r="D47" s="56">
        <f>SUM(D30,D32)</f>
        <v>1232207</v>
      </c>
      <c r="E47" s="158">
        <f>(D47-C47)/C47</f>
        <v>0.012327452633170172</v>
      </c>
      <c r="F47" s="57" t="s">
        <v>212</v>
      </c>
      <c r="G47" s="86">
        <f>'2012市本级执行情况表'!I46</f>
        <v>1071868</v>
      </c>
      <c r="H47" s="86">
        <f>'2012市本级执行情况表'!J46</f>
        <v>1158033</v>
      </c>
      <c r="I47" s="86">
        <f>I30+I32</f>
        <v>1232007</v>
      </c>
      <c r="J47" s="159">
        <f>(I47-H47)/H47</f>
        <v>0.06387900862928776</v>
      </c>
    </row>
    <row r="48" spans="1:10" ht="16.5" customHeight="1">
      <c r="A48" s="11"/>
      <c r="B48" s="30"/>
      <c r="C48" s="30"/>
      <c r="D48" s="36"/>
      <c r="E48" s="21"/>
      <c r="F48" s="30"/>
      <c r="G48" s="16"/>
      <c r="H48" s="16"/>
      <c r="I48" s="161"/>
      <c r="J48" s="9"/>
    </row>
    <row r="49" spans="1:10" ht="16.5" customHeight="1">
      <c r="A49" s="57"/>
      <c r="B49" s="56"/>
      <c r="C49" s="56"/>
      <c r="D49" s="56"/>
      <c r="E49" s="158"/>
      <c r="F49" s="125" t="s">
        <v>183</v>
      </c>
      <c r="G49" s="86">
        <f>SUM(G50:G51)</f>
        <v>200</v>
      </c>
      <c r="H49" s="86">
        <f>SUM(H50:H51)</f>
        <v>59169</v>
      </c>
      <c r="I49" s="86">
        <f>SUM(I50:I51)</f>
        <v>200</v>
      </c>
      <c r="J49" s="159"/>
    </row>
    <row r="50" spans="1:10" ht="16.5" customHeight="1">
      <c r="A50" s="11"/>
      <c r="B50" s="30"/>
      <c r="C50" s="30"/>
      <c r="D50" s="36"/>
      <c r="E50" s="21"/>
      <c r="F50" s="16" t="s">
        <v>281</v>
      </c>
      <c r="G50" s="16"/>
      <c r="H50" s="16">
        <f>'2012市本级执行情况表'!J49</f>
        <v>57219</v>
      </c>
      <c r="I50" s="161"/>
      <c r="J50" s="9"/>
    </row>
    <row r="51" spans="1:10" ht="16.5" customHeight="1">
      <c r="A51" s="11"/>
      <c r="B51" s="30"/>
      <c r="C51" s="30"/>
      <c r="D51" s="36"/>
      <c r="E51" s="21"/>
      <c r="F51" s="16" t="s">
        <v>282</v>
      </c>
      <c r="G51" s="16">
        <f>'2012市本级执行情况表'!I50</f>
        <v>200</v>
      </c>
      <c r="H51" s="16">
        <f>'2012市本级执行情况表'!J50</f>
        <v>1950</v>
      </c>
      <c r="I51" s="161">
        <f>200</f>
        <v>200</v>
      </c>
      <c r="J51" s="9"/>
    </row>
    <row r="52" spans="1:10" ht="16.5" customHeight="1">
      <c r="A52" s="98"/>
      <c r="B52" s="98"/>
      <c r="C52" s="98"/>
      <c r="D52" s="98"/>
      <c r="E52" s="98"/>
      <c r="F52" s="98"/>
      <c r="G52" s="98"/>
      <c r="H52" s="98"/>
      <c r="I52" s="98"/>
      <c r="J52" s="98"/>
    </row>
    <row r="53" spans="1:10" ht="16.5" customHeight="1">
      <c r="A53" s="99"/>
      <c r="B53" s="99"/>
      <c r="C53" s="99"/>
      <c r="D53" s="99"/>
      <c r="E53" s="99"/>
      <c r="F53" s="99"/>
      <c r="G53" s="99"/>
      <c r="H53" s="99"/>
      <c r="I53" s="99"/>
      <c r="J53" s="99"/>
    </row>
    <row r="54" spans="1:10" ht="16.5" customHeight="1">
      <c r="A54" s="2"/>
      <c r="B54" s="2"/>
      <c r="C54" s="2"/>
      <c r="D54" s="2"/>
      <c r="E54" s="2"/>
      <c r="F54" s="2"/>
      <c r="G54" s="2"/>
      <c r="H54" s="2"/>
      <c r="I54" s="2"/>
      <c r="J54" s="58"/>
    </row>
    <row r="55" ht="16.5" customHeight="1">
      <c r="J55" s="58"/>
    </row>
    <row r="56" ht="13.5" customHeight="1">
      <c r="G56" s="163"/>
    </row>
    <row r="57" ht="13.5" customHeight="1">
      <c r="D57" s="115"/>
    </row>
    <row r="58" ht="13.5" customHeight="1"/>
    <row r="59" ht="13.5" customHeight="1"/>
    <row r="60" ht="13.5" customHeight="1">
      <c r="F60" s="59"/>
    </row>
    <row r="61" ht="13.5" customHeight="1">
      <c r="C61" s="83"/>
    </row>
    <row r="62" ht="13.5" customHeight="1"/>
    <row r="63" ht="13.5" customHeight="1">
      <c r="F63" s="59"/>
    </row>
    <row r="64" ht="13.5" customHeight="1"/>
    <row r="65" ht="13.5" customHeight="1"/>
    <row r="66" spans="11:12" ht="13.5" customHeight="1">
      <c r="K66" s="66"/>
      <c r="L66" s="66"/>
    </row>
    <row r="67" spans="1:10" s="66" customFormat="1" ht="13.5" customHeight="1">
      <c r="A67" s="58"/>
      <c r="B67" s="59"/>
      <c r="C67" s="59"/>
      <c r="D67" s="59"/>
      <c r="E67" s="59"/>
      <c r="F67" s="58"/>
      <c r="G67" s="59"/>
      <c r="H67" s="59"/>
      <c r="I67" s="59"/>
      <c r="J67" s="59"/>
    </row>
    <row r="68" spans="1:10" s="66" customFormat="1" ht="13.5" customHeight="1">
      <c r="A68" s="58"/>
      <c r="B68" s="59"/>
      <c r="C68" s="59"/>
      <c r="D68" s="59"/>
      <c r="E68" s="59"/>
      <c r="F68" s="58"/>
      <c r="G68" s="59"/>
      <c r="H68" s="59"/>
      <c r="I68" s="59"/>
      <c r="J68" s="59"/>
    </row>
    <row r="69" spans="1:12" s="66" customFormat="1" ht="13.5" customHeight="1">
      <c r="A69" s="58"/>
      <c r="B69" s="59"/>
      <c r="C69" s="59"/>
      <c r="D69" s="59"/>
      <c r="E69" s="59"/>
      <c r="F69" s="58"/>
      <c r="G69" s="59"/>
      <c r="H69" s="59"/>
      <c r="I69" s="59"/>
      <c r="J69" s="59"/>
      <c r="K69" s="58"/>
      <c r="L69" s="58"/>
    </row>
  </sheetData>
  <mergeCells count="8">
    <mergeCell ref="F4:J4"/>
    <mergeCell ref="G5:H5"/>
    <mergeCell ref="A2:J2"/>
    <mergeCell ref="A5:A6"/>
    <mergeCell ref="F5:F6"/>
    <mergeCell ref="D5:E5"/>
    <mergeCell ref="B5:C5"/>
    <mergeCell ref="I5:J5"/>
  </mergeCells>
  <printOptions horizontalCentered="1" verticalCentered="1"/>
  <pageMargins left="0" right="0" top="0.1968503937007874" bottom="0.1968503937007874" header="0.23" footer="0.21"/>
  <pageSetup fitToHeight="1" fitToWidth="1" horizontalDpi="600" verticalDpi="600" orientation="landscape" paperSize="8" scale="86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workbookViewId="0" topLeftCell="A1">
      <selection activeCell="H25" sqref="H25"/>
    </sheetView>
  </sheetViews>
  <sheetFormatPr defaultColWidth="9.00390625" defaultRowHeight="14.25"/>
  <cols>
    <col min="1" max="1" width="33.875" style="213" customWidth="1"/>
    <col min="2" max="5" width="9.625" style="213" customWidth="1"/>
    <col min="6" max="6" width="9.625" style="214" customWidth="1"/>
    <col min="7" max="7" width="9.625" style="213" customWidth="1"/>
    <col min="8" max="8" width="41.875" style="213" customWidth="1"/>
    <col min="9" max="9" width="9.625" style="214" customWidth="1"/>
    <col min="10" max="14" width="9.625" style="213" customWidth="1"/>
    <col min="15" max="16384" width="9.00390625" style="213" customWidth="1"/>
  </cols>
  <sheetData>
    <row r="1" ht="14.25" customHeight="1">
      <c r="A1" s="212" t="s">
        <v>288</v>
      </c>
    </row>
    <row r="2" spans="1:14" ht="22.5" customHeight="1">
      <c r="A2" s="304" t="s">
        <v>289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</row>
    <row r="3" spans="1:14" ht="15.75" customHeight="1" thickBot="1">
      <c r="A3" s="215"/>
      <c r="N3" s="216" t="s">
        <v>290</v>
      </c>
    </row>
    <row r="4" spans="1:14" ht="13.5" customHeight="1">
      <c r="A4" s="301" t="s">
        <v>291</v>
      </c>
      <c r="B4" s="302"/>
      <c r="C4" s="302"/>
      <c r="D4" s="302"/>
      <c r="E4" s="302"/>
      <c r="F4" s="302"/>
      <c r="G4" s="302"/>
      <c r="H4" s="302" t="s">
        <v>292</v>
      </c>
      <c r="I4" s="302"/>
      <c r="J4" s="302"/>
      <c r="K4" s="302"/>
      <c r="L4" s="302"/>
      <c r="M4" s="302"/>
      <c r="N4" s="306"/>
    </row>
    <row r="5" spans="1:14" ht="13.5" customHeight="1">
      <c r="A5" s="303" t="s">
        <v>293</v>
      </c>
      <c r="B5" s="256" t="s">
        <v>294</v>
      </c>
      <c r="C5" s="305" t="s">
        <v>196</v>
      </c>
      <c r="D5" s="305"/>
      <c r="E5" s="305"/>
      <c r="F5" s="305" t="s">
        <v>295</v>
      </c>
      <c r="G5" s="305"/>
      <c r="H5" s="308" t="s">
        <v>293</v>
      </c>
      <c r="I5" s="256" t="s">
        <v>294</v>
      </c>
      <c r="J5" s="305" t="s">
        <v>196</v>
      </c>
      <c r="K5" s="305"/>
      <c r="L5" s="305"/>
      <c r="M5" s="305" t="s">
        <v>295</v>
      </c>
      <c r="N5" s="307"/>
    </row>
    <row r="6" spans="1:14" ht="24" customHeight="1">
      <c r="A6" s="303"/>
      <c r="B6" s="217" t="s">
        <v>181</v>
      </c>
      <c r="C6" s="217" t="s">
        <v>0</v>
      </c>
      <c r="D6" s="217" t="s">
        <v>181</v>
      </c>
      <c r="E6" s="218" t="s">
        <v>296</v>
      </c>
      <c r="F6" s="219" t="s">
        <v>0</v>
      </c>
      <c r="G6" s="218" t="s">
        <v>296</v>
      </c>
      <c r="H6" s="308"/>
      <c r="I6" s="219" t="s">
        <v>297</v>
      </c>
      <c r="J6" s="217" t="s">
        <v>0</v>
      </c>
      <c r="K6" s="219" t="s">
        <v>297</v>
      </c>
      <c r="L6" s="218" t="s">
        <v>298</v>
      </c>
      <c r="M6" s="219" t="s">
        <v>299</v>
      </c>
      <c r="N6" s="220" t="s">
        <v>298</v>
      </c>
    </row>
    <row r="7" spans="1:14" ht="13.5" customHeight="1">
      <c r="A7" s="221" t="s">
        <v>300</v>
      </c>
      <c r="B7" s="132"/>
      <c r="C7" s="132"/>
      <c r="D7" s="132"/>
      <c r="E7" s="224"/>
      <c r="F7" s="225"/>
      <c r="G7" s="224"/>
      <c r="H7" s="222" t="s">
        <v>301</v>
      </c>
      <c r="I7" s="226"/>
      <c r="J7" s="223"/>
      <c r="K7" s="223"/>
      <c r="L7" s="223"/>
      <c r="M7" s="225"/>
      <c r="N7" s="227"/>
    </row>
    <row r="8" spans="1:14" ht="13.5" customHeight="1">
      <c r="A8" s="221" t="s">
        <v>302</v>
      </c>
      <c r="B8" s="132"/>
      <c r="C8" s="132"/>
      <c r="D8" s="132"/>
      <c r="E8" s="224"/>
      <c r="F8" s="225"/>
      <c r="G8" s="224"/>
      <c r="H8" s="222" t="s">
        <v>303</v>
      </c>
      <c r="I8" s="260"/>
      <c r="J8" s="223"/>
      <c r="K8" s="223"/>
      <c r="L8" s="223"/>
      <c r="M8" s="225"/>
      <c r="N8" s="227"/>
    </row>
    <row r="9" spans="1:14" ht="13.5" customHeight="1">
      <c r="A9" s="221" t="s">
        <v>304</v>
      </c>
      <c r="B9" s="132">
        <v>2</v>
      </c>
      <c r="C9" s="132">
        <v>2</v>
      </c>
      <c r="D9" s="132"/>
      <c r="E9" s="224">
        <f>(D9-B9)/B9</f>
        <v>-1</v>
      </c>
      <c r="F9" s="225"/>
      <c r="G9" s="224"/>
      <c r="H9" s="222" t="s">
        <v>305</v>
      </c>
      <c r="I9" s="260"/>
      <c r="J9" s="223"/>
      <c r="K9" s="223"/>
      <c r="L9" s="223"/>
      <c r="M9" s="225"/>
      <c r="N9" s="227"/>
    </row>
    <row r="10" spans="1:14" ht="13.5" customHeight="1">
      <c r="A10" s="221" t="s">
        <v>306</v>
      </c>
      <c r="B10" s="132"/>
      <c r="C10" s="132"/>
      <c r="D10" s="132"/>
      <c r="E10" s="224"/>
      <c r="F10" s="225"/>
      <c r="G10" s="224"/>
      <c r="H10" s="222" t="s">
        <v>307</v>
      </c>
      <c r="I10" s="260">
        <f>I11</f>
        <v>6447</v>
      </c>
      <c r="J10" s="260">
        <f>J11</f>
        <v>15000</v>
      </c>
      <c r="K10" s="260">
        <f>K11</f>
        <v>6806</v>
      </c>
      <c r="L10" s="224">
        <f>(K10-I10)/I10</f>
        <v>0.05568481464246937</v>
      </c>
      <c r="M10" s="260">
        <f>M11</f>
        <v>17000</v>
      </c>
      <c r="N10" s="231">
        <f>(M10-K10)/K10</f>
        <v>1.4977960622979725</v>
      </c>
    </row>
    <row r="11" spans="1:14" ht="13.5" customHeight="1">
      <c r="A11" s="221" t="s">
        <v>308</v>
      </c>
      <c r="B11" s="132"/>
      <c r="C11" s="132"/>
      <c r="D11" s="132"/>
      <c r="E11" s="224"/>
      <c r="F11" s="225"/>
      <c r="G11" s="224"/>
      <c r="H11" s="222" t="s">
        <v>309</v>
      </c>
      <c r="I11" s="225">
        <v>6447</v>
      </c>
      <c r="J11" s="225">
        <v>15000</v>
      </c>
      <c r="K11" s="225">
        <v>6806</v>
      </c>
      <c r="L11" s="224">
        <f>(K11-I11)/I11</f>
        <v>0.05568481464246937</v>
      </c>
      <c r="M11" s="225">
        <v>17000</v>
      </c>
      <c r="N11" s="231">
        <f>(M11-K11)/K11</f>
        <v>1.4977960622979725</v>
      </c>
    </row>
    <row r="12" spans="1:14" ht="13.5" customHeight="1">
      <c r="A12" s="221" t="s">
        <v>310</v>
      </c>
      <c r="B12" s="132">
        <v>11800</v>
      </c>
      <c r="C12" s="132">
        <v>15488</v>
      </c>
      <c r="D12" s="132">
        <v>15761</v>
      </c>
      <c r="E12" s="224">
        <f>(D12-B12)/B12</f>
        <v>0.3356779661016949</v>
      </c>
      <c r="F12" s="225">
        <v>17000</v>
      </c>
      <c r="G12" s="224">
        <f>(F12-D12)/D12</f>
        <v>0.0786117632129941</v>
      </c>
      <c r="H12" s="222" t="s">
        <v>311</v>
      </c>
      <c r="I12" s="258"/>
      <c r="J12" s="225"/>
      <c r="K12" s="225">
        <f>K13+K14</f>
        <v>400</v>
      </c>
      <c r="L12" s="223"/>
      <c r="M12" s="225"/>
      <c r="N12" s="227"/>
    </row>
    <row r="13" spans="1:14" ht="13.5" customHeight="1">
      <c r="A13" s="221" t="s">
        <v>312</v>
      </c>
      <c r="B13" s="132"/>
      <c r="C13" s="132"/>
      <c r="D13" s="132"/>
      <c r="E13" s="224"/>
      <c r="F13" s="225"/>
      <c r="G13" s="224"/>
      <c r="H13" s="222" t="s">
        <v>313</v>
      </c>
      <c r="I13" s="133"/>
      <c r="J13" s="225"/>
      <c r="K13" s="225">
        <v>400</v>
      </c>
      <c r="L13" s="223"/>
      <c r="M13" s="225"/>
      <c r="N13" s="227"/>
    </row>
    <row r="14" spans="1:14" ht="13.5" customHeight="1">
      <c r="A14" s="221" t="s">
        <v>314</v>
      </c>
      <c r="B14" s="132"/>
      <c r="C14" s="132"/>
      <c r="D14" s="132"/>
      <c r="E14" s="224"/>
      <c r="F14" s="225"/>
      <c r="G14" s="224"/>
      <c r="H14" s="222" t="s">
        <v>315</v>
      </c>
      <c r="I14" s="225"/>
      <c r="J14" s="225"/>
      <c r="K14" s="225"/>
      <c r="L14" s="223"/>
      <c r="M14" s="225"/>
      <c r="N14" s="227"/>
    </row>
    <row r="15" spans="1:14" ht="13.5" customHeight="1">
      <c r="A15" s="221" t="s">
        <v>316</v>
      </c>
      <c r="B15" s="132">
        <v>350</v>
      </c>
      <c r="C15" s="132">
        <v>350</v>
      </c>
      <c r="D15" s="132"/>
      <c r="E15" s="224">
        <f>(D15-B15)/B15</f>
        <v>-1</v>
      </c>
      <c r="F15" s="225"/>
      <c r="G15" s="224"/>
      <c r="H15" s="222" t="s">
        <v>317</v>
      </c>
      <c r="I15" s="258">
        <f>SUM(I16)</f>
        <v>516</v>
      </c>
      <c r="J15" s="258">
        <f>SUM(J16)</f>
        <v>729</v>
      </c>
      <c r="K15" s="258">
        <f>SUM(K16:K18)</f>
        <v>580</v>
      </c>
      <c r="L15" s="224">
        <f>(K15-I15)/I15</f>
        <v>0.12403100775193798</v>
      </c>
      <c r="M15" s="258">
        <f>SUM(M16:M18)</f>
        <v>800</v>
      </c>
      <c r="N15" s="231">
        <f>(M15-K15)/K15</f>
        <v>0.3793103448275862</v>
      </c>
    </row>
    <row r="16" spans="1:14" ht="13.5" customHeight="1">
      <c r="A16" s="221" t="s">
        <v>318</v>
      </c>
      <c r="B16" s="132">
        <v>1779</v>
      </c>
      <c r="C16" s="132">
        <v>1800</v>
      </c>
      <c r="D16" s="132">
        <v>1103</v>
      </c>
      <c r="E16" s="224">
        <f>(D16-B16)/B16</f>
        <v>-0.37998875772906127</v>
      </c>
      <c r="F16" s="225">
        <v>1100</v>
      </c>
      <c r="G16" s="224">
        <f>(F16-D16)/D16</f>
        <v>-0.0027198549410698096</v>
      </c>
      <c r="H16" s="222" t="s">
        <v>319</v>
      </c>
      <c r="I16" s="133">
        <v>516</v>
      </c>
      <c r="J16" s="225">
        <v>729</v>
      </c>
      <c r="K16" s="225">
        <v>566</v>
      </c>
      <c r="L16" s="224">
        <f>(K16-I16)/I16</f>
        <v>0.09689922480620156</v>
      </c>
      <c r="M16" s="225">
        <v>800</v>
      </c>
      <c r="N16" s="231">
        <f>(M16-K16)/K16</f>
        <v>0.4134275618374558</v>
      </c>
    </row>
    <row r="17" spans="1:14" ht="13.5" customHeight="1">
      <c r="A17" s="221" t="s">
        <v>320</v>
      </c>
      <c r="B17" s="132">
        <v>878</v>
      </c>
      <c r="C17" s="132">
        <v>800</v>
      </c>
      <c r="D17" s="132">
        <v>878.5</v>
      </c>
      <c r="E17" s="224">
        <f>(D17-B17)/B17</f>
        <v>0.0005694760820045558</v>
      </c>
      <c r="F17" s="225">
        <v>800</v>
      </c>
      <c r="G17" s="224">
        <f>(F17-D17)/D17</f>
        <v>-0.08935685828116106</v>
      </c>
      <c r="H17" s="222" t="s">
        <v>321</v>
      </c>
      <c r="I17" s="225"/>
      <c r="J17" s="225"/>
      <c r="K17" s="225">
        <v>14</v>
      </c>
      <c r="L17" s="223"/>
      <c r="M17" s="225"/>
      <c r="N17" s="227"/>
    </row>
    <row r="18" spans="1:14" ht="13.5" customHeight="1">
      <c r="A18" s="221" t="s">
        <v>322</v>
      </c>
      <c r="B18" s="132">
        <v>2430</v>
      </c>
      <c r="C18" s="132">
        <v>2000</v>
      </c>
      <c r="D18" s="132"/>
      <c r="E18" s="224">
        <f>(D18-B18)/B18</f>
        <v>-1</v>
      </c>
      <c r="F18" s="225"/>
      <c r="G18" s="224"/>
      <c r="H18" s="222" t="s">
        <v>323</v>
      </c>
      <c r="I18" s="225"/>
      <c r="J18" s="225"/>
      <c r="K18" s="225"/>
      <c r="L18" s="223"/>
      <c r="M18" s="225"/>
      <c r="N18" s="227"/>
    </row>
    <row r="19" spans="1:14" ht="13.5" customHeight="1">
      <c r="A19" s="221" t="s">
        <v>324</v>
      </c>
      <c r="B19" s="132"/>
      <c r="C19" s="132"/>
      <c r="D19" s="132"/>
      <c r="E19" s="224"/>
      <c r="F19" s="225"/>
      <c r="G19" s="224"/>
      <c r="H19" s="222" t="s">
        <v>325</v>
      </c>
      <c r="I19" s="258">
        <f>SUM(I20,I21,I34,I35,I36,I37,I38)</f>
        <v>397946</v>
      </c>
      <c r="J19" s="258">
        <f>SUM(J20,J21,J34,J35,J36,J37,J38)</f>
        <v>556057</v>
      </c>
      <c r="K19" s="258">
        <f>SUM(K20,K21,K34,K35,K36,K37,K38)</f>
        <v>576914.6799999999</v>
      </c>
      <c r="L19" s="224">
        <f aca="true" t="shared" si="0" ref="L19:L24">(K19-I19)/I19</f>
        <v>0.44973106903951776</v>
      </c>
      <c r="M19" s="258">
        <f>SUM(M20,M21,M34,M35,M36,M37,M38)</f>
        <v>860600</v>
      </c>
      <c r="N19" s="231">
        <f>(M19-K19)/K19</f>
        <v>0.4917283782759698</v>
      </c>
    </row>
    <row r="20" spans="1:14" ht="13.5" customHeight="1">
      <c r="A20" s="221" t="s">
        <v>326</v>
      </c>
      <c r="B20" s="132">
        <v>424300</v>
      </c>
      <c r="C20" s="132">
        <v>540000</v>
      </c>
      <c r="D20" s="132">
        <v>521058</v>
      </c>
      <c r="E20" s="224">
        <f>(D20-B20)/B20</f>
        <v>0.22804148008484562</v>
      </c>
      <c r="F20" s="133">
        <v>720000</v>
      </c>
      <c r="G20" s="224">
        <f>(F20-D20)/D20</f>
        <v>0.3818039450502631</v>
      </c>
      <c r="H20" s="222" t="s">
        <v>327</v>
      </c>
      <c r="I20" s="133">
        <v>2731</v>
      </c>
      <c r="J20" s="225">
        <v>1500</v>
      </c>
      <c r="K20" s="225"/>
      <c r="L20" s="224">
        <f t="shared" si="0"/>
        <v>-1</v>
      </c>
      <c r="M20" s="225"/>
      <c r="N20" s="227"/>
    </row>
    <row r="21" spans="1:14" ht="13.5" customHeight="1">
      <c r="A21" s="221" t="s">
        <v>328</v>
      </c>
      <c r="B21" s="234"/>
      <c r="C21" s="234"/>
      <c r="D21" s="132">
        <v>542353</v>
      </c>
      <c r="E21" s="234"/>
      <c r="F21" s="235"/>
      <c r="G21" s="234"/>
      <c r="H21" s="222" t="s">
        <v>329</v>
      </c>
      <c r="I21" s="258">
        <f>SUM(I22,I23,I24,I33)</f>
        <v>373649</v>
      </c>
      <c r="J21" s="258">
        <f>SUM(J22,J23,J24,J33)</f>
        <v>517257</v>
      </c>
      <c r="K21" s="258">
        <f>SUM(K22,K23,K24,K33)</f>
        <v>498168.67</v>
      </c>
      <c r="L21" s="224">
        <f t="shared" si="0"/>
        <v>0.3332530529989375</v>
      </c>
      <c r="M21" s="258">
        <f>SUM(M22,M23,M24,M33)</f>
        <v>727600</v>
      </c>
      <c r="N21" s="231">
        <f>(M21-K21)/K21</f>
        <v>0.4605494962178172</v>
      </c>
    </row>
    <row r="22" spans="1:14" ht="13.5" customHeight="1">
      <c r="A22" s="221" t="s">
        <v>330</v>
      </c>
      <c r="B22" s="234"/>
      <c r="C22" s="234"/>
      <c r="D22" s="132">
        <v>-21295</v>
      </c>
      <c r="E22" s="234"/>
      <c r="F22" s="235"/>
      <c r="G22" s="234"/>
      <c r="H22" s="232" t="s">
        <v>331</v>
      </c>
      <c r="I22" s="133">
        <v>156138</v>
      </c>
      <c r="J22" s="225">
        <v>170000</v>
      </c>
      <c r="K22" s="225">
        <f>246970-43350</f>
        <v>203620</v>
      </c>
      <c r="L22" s="224">
        <f t="shared" si="0"/>
        <v>0.30410278087333</v>
      </c>
      <c r="M22" s="225">
        <v>196600</v>
      </c>
      <c r="N22" s="231">
        <f>(M22-K22)/K22</f>
        <v>-0.034475984677340143</v>
      </c>
    </row>
    <row r="23" spans="1:14" ht="13.5" customHeight="1">
      <c r="A23" s="221" t="s">
        <v>332</v>
      </c>
      <c r="B23" s="132"/>
      <c r="C23" s="132"/>
      <c r="D23" s="132"/>
      <c r="E23" s="224"/>
      <c r="F23" s="225"/>
      <c r="G23" s="224"/>
      <c r="H23" s="232" t="s">
        <v>333</v>
      </c>
      <c r="I23" s="133">
        <v>31224</v>
      </c>
      <c r="J23" s="225">
        <v>30000</v>
      </c>
      <c r="K23" s="225">
        <v>21562</v>
      </c>
      <c r="L23" s="224">
        <f t="shared" si="0"/>
        <v>-0.30944145529080197</v>
      </c>
      <c r="M23" s="225">
        <v>35000</v>
      </c>
      <c r="N23" s="231">
        <f>(M23-K23)/K23</f>
        <v>0.6232260458213523</v>
      </c>
    </row>
    <row r="24" spans="1:14" ht="13.5" customHeight="1">
      <c r="A24" s="221" t="s">
        <v>334</v>
      </c>
      <c r="B24" s="132"/>
      <c r="C24" s="132"/>
      <c r="D24" s="132"/>
      <c r="E24" s="224"/>
      <c r="F24" s="225"/>
      <c r="G24" s="224"/>
      <c r="H24" s="232" t="s">
        <v>335</v>
      </c>
      <c r="I24" s="233">
        <f>SUM(I25:I32)</f>
        <v>186287</v>
      </c>
      <c r="J24" s="233">
        <f>SUM(J25:J32)</f>
        <v>317257</v>
      </c>
      <c r="K24" s="233">
        <f>SUM(K25:K32)</f>
        <v>259298.66999999998</v>
      </c>
      <c r="L24" s="224">
        <f t="shared" si="0"/>
        <v>0.3919311063037141</v>
      </c>
      <c r="M24" s="233">
        <f>SUM(M25:M32)</f>
        <v>486000</v>
      </c>
      <c r="N24" s="231">
        <f>(M24-K24)/K24</f>
        <v>0.8742865129234949</v>
      </c>
    </row>
    <row r="25" spans="1:14" ht="13.5" customHeight="1">
      <c r="A25" s="221" t="s">
        <v>336</v>
      </c>
      <c r="B25" s="132"/>
      <c r="C25" s="132"/>
      <c r="D25" s="132"/>
      <c r="E25" s="224"/>
      <c r="F25" s="225"/>
      <c r="G25" s="224"/>
      <c r="H25" s="232" t="s">
        <v>337</v>
      </c>
      <c r="I25" s="133"/>
      <c r="J25" s="225">
        <v>5000</v>
      </c>
      <c r="K25" s="223"/>
      <c r="L25" s="224"/>
      <c r="M25" s="225"/>
      <c r="N25" s="227"/>
    </row>
    <row r="26" spans="1:14" ht="13.5" customHeight="1">
      <c r="A26" s="221" t="s">
        <v>338</v>
      </c>
      <c r="B26" s="132">
        <v>15000</v>
      </c>
      <c r="C26" s="132">
        <v>30000</v>
      </c>
      <c r="D26" s="132">
        <v>28897</v>
      </c>
      <c r="E26" s="224">
        <f>(D26-B26)/B26</f>
        <v>0.9264666666666667</v>
      </c>
      <c r="F26" s="225">
        <v>40000</v>
      </c>
      <c r="G26" s="224">
        <f>(F26-D26)/D26</f>
        <v>0.3842267363394124</v>
      </c>
      <c r="H26" s="232" t="s">
        <v>339</v>
      </c>
      <c r="I26" s="133">
        <v>1650</v>
      </c>
      <c r="J26" s="225">
        <v>4000</v>
      </c>
      <c r="K26" s="225">
        <v>3165.67</v>
      </c>
      <c r="L26" s="224">
        <f>(K26-I26)/I26</f>
        <v>0.9185878787878788</v>
      </c>
      <c r="M26" s="225">
        <v>4000</v>
      </c>
      <c r="N26" s="231">
        <f aca="true" t="shared" si="1" ref="N26:N34">(M26-K26)/K26</f>
        <v>0.2635555822306178</v>
      </c>
    </row>
    <row r="27" spans="1:14" ht="13.5" customHeight="1">
      <c r="A27" s="221" t="s">
        <v>340</v>
      </c>
      <c r="B27" s="132"/>
      <c r="C27" s="132"/>
      <c r="D27" s="132"/>
      <c r="E27" s="224"/>
      <c r="F27" s="225"/>
      <c r="G27" s="224"/>
      <c r="H27" s="232" t="s">
        <v>341</v>
      </c>
      <c r="I27" s="133">
        <v>5976</v>
      </c>
      <c r="J27" s="225">
        <v>30000</v>
      </c>
      <c r="K27" s="225">
        <v>5614</v>
      </c>
      <c r="L27" s="224">
        <f>(K27-I27)/I27</f>
        <v>-0.06057563587684069</v>
      </c>
      <c r="M27" s="225">
        <v>40000</v>
      </c>
      <c r="N27" s="231">
        <f t="shared" si="1"/>
        <v>6.125044531528322</v>
      </c>
    </row>
    <row r="28" spans="1:14" ht="13.5" customHeight="1">
      <c r="A28" s="221" t="s">
        <v>342</v>
      </c>
      <c r="B28" s="132"/>
      <c r="C28" s="132"/>
      <c r="D28" s="132"/>
      <c r="E28" s="224"/>
      <c r="F28" s="225"/>
      <c r="G28" s="224"/>
      <c r="H28" s="232" t="s">
        <v>343</v>
      </c>
      <c r="I28" s="133">
        <v>3407</v>
      </c>
      <c r="J28" s="225">
        <v>21000</v>
      </c>
      <c r="K28" s="225">
        <v>2547</v>
      </c>
      <c r="L28" s="224">
        <f>(K28-I28)/I28</f>
        <v>-0.25242148517757557</v>
      </c>
      <c r="M28" s="225">
        <v>28000</v>
      </c>
      <c r="N28" s="231">
        <f t="shared" si="1"/>
        <v>9.99332548095799</v>
      </c>
    </row>
    <row r="29" spans="1:14" ht="13.5" customHeight="1">
      <c r="A29" s="221" t="s">
        <v>344</v>
      </c>
      <c r="B29" s="132"/>
      <c r="C29" s="132"/>
      <c r="D29" s="132"/>
      <c r="E29" s="224"/>
      <c r="F29" s="225"/>
      <c r="G29" s="224"/>
      <c r="H29" s="236" t="s">
        <v>392</v>
      </c>
      <c r="I29" s="133"/>
      <c r="J29" s="225">
        <v>21000</v>
      </c>
      <c r="K29" s="225">
        <v>17512</v>
      </c>
      <c r="L29" s="224"/>
      <c r="M29" s="225">
        <v>28000</v>
      </c>
      <c r="N29" s="231">
        <f t="shared" si="1"/>
        <v>0.5989036089538602</v>
      </c>
    </row>
    <row r="30" spans="1:14" ht="13.5" customHeight="1">
      <c r="A30" s="221" t="s">
        <v>345</v>
      </c>
      <c r="B30" s="132"/>
      <c r="C30" s="132"/>
      <c r="D30" s="132"/>
      <c r="E30" s="224"/>
      <c r="F30" s="225"/>
      <c r="G30" s="224"/>
      <c r="H30" s="236" t="s">
        <v>393</v>
      </c>
      <c r="I30" s="133"/>
      <c r="J30" s="225">
        <v>21000</v>
      </c>
      <c r="K30" s="225">
        <v>10378</v>
      </c>
      <c r="L30" s="224"/>
      <c r="M30" s="225">
        <v>28000</v>
      </c>
      <c r="N30" s="231">
        <f t="shared" si="1"/>
        <v>1.6980150317980343</v>
      </c>
    </row>
    <row r="31" spans="1:14" ht="13.5" customHeight="1">
      <c r="A31" s="221" t="s">
        <v>346</v>
      </c>
      <c r="B31" s="132"/>
      <c r="C31" s="132"/>
      <c r="D31" s="132"/>
      <c r="E31" s="224"/>
      <c r="F31" s="225"/>
      <c r="G31" s="224"/>
      <c r="H31" s="232" t="s">
        <v>347</v>
      </c>
      <c r="I31" s="133">
        <v>4300</v>
      </c>
      <c r="J31" s="225">
        <v>4600</v>
      </c>
      <c r="K31" s="225">
        <v>4600</v>
      </c>
      <c r="L31" s="224">
        <f>(K31-I31)/I31</f>
        <v>0.06976744186046512</v>
      </c>
      <c r="M31" s="225">
        <v>4600</v>
      </c>
      <c r="N31" s="231">
        <f t="shared" si="1"/>
        <v>0</v>
      </c>
    </row>
    <row r="32" spans="1:14" ht="13.5" customHeight="1">
      <c r="A32" s="221" t="s">
        <v>348</v>
      </c>
      <c r="B32" s="132"/>
      <c r="C32" s="132"/>
      <c r="D32" s="132"/>
      <c r="E32" s="224"/>
      <c r="F32" s="225"/>
      <c r="G32" s="224"/>
      <c r="H32" s="232" t="s">
        <v>349</v>
      </c>
      <c r="I32" s="133">
        <v>170954</v>
      </c>
      <c r="J32" s="225">
        <f>211800-1143</f>
        <v>210657</v>
      </c>
      <c r="K32" s="225">
        <v>215482</v>
      </c>
      <c r="L32" s="224">
        <f>(K32-I32)/I32</f>
        <v>0.2604677281607918</v>
      </c>
      <c r="M32" s="225">
        <f>269100+126000-21700-20000</f>
        <v>353400</v>
      </c>
      <c r="N32" s="231">
        <f t="shared" si="1"/>
        <v>0.6400441800243176</v>
      </c>
    </row>
    <row r="33" spans="1:14" ht="13.5" customHeight="1">
      <c r="A33" s="221" t="s">
        <v>350</v>
      </c>
      <c r="B33" s="132">
        <v>110</v>
      </c>
      <c r="C33" s="132"/>
      <c r="D33" s="132">
        <v>233.5</v>
      </c>
      <c r="E33" s="224">
        <f>(D33-B33)/B33</f>
        <v>1.1227272727272728</v>
      </c>
      <c r="F33" s="225">
        <v>200</v>
      </c>
      <c r="G33" s="224">
        <f>(F33-D33)/D33</f>
        <v>-0.14346895074946467</v>
      </c>
      <c r="H33" s="232" t="s">
        <v>351</v>
      </c>
      <c r="I33" s="133"/>
      <c r="J33" s="225"/>
      <c r="K33" s="225">
        <v>13688</v>
      </c>
      <c r="L33" s="224"/>
      <c r="M33" s="225">
        <v>10000</v>
      </c>
      <c r="N33" s="231">
        <f t="shared" si="1"/>
        <v>-0.26943308007013445</v>
      </c>
    </row>
    <row r="34" spans="1:14" ht="13.5" customHeight="1">
      <c r="A34" s="221" t="s">
        <v>352</v>
      </c>
      <c r="B34" s="132"/>
      <c r="C34" s="132"/>
      <c r="D34" s="132"/>
      <c r="E34" s="224"/>
      <c r="F34" s="225"/>
      <c r="G34" s="224"/>
      <c r="H34" s="222" t="s">
        <v>353</v>
      </c>
      <c r="I34" s="133">
        <v>3484</v>
      </c>
      <c r="J34" s="132">
        <v>3800</v>
      </c>
      <c r="K34" s="132">
        <v>3066.86</v>
      </c>
      <c r="L34" s="224">
        <f>(K34-I34)/I34</f>
        <v>-0.11973019517795634</v>
      </c>
      <c r="M34" s="225">
        <v>3000</v>
      </c>
      <c r="N34" s="231">
        <f t="shared" si="1"/>
        <v>-0.021800799514813236</v>
      </c>
    </row>
    <row r="35" spans="1:14" ht="13.5" customHeight="1">
      <c r="A35" s="238"/>
      <c r="B35" s="132"/>
      <c r="C35" s="132"/>
      <c r="D35" s="132"/>
      <c r="E35" s="224"/>
      <c r="F35" s="225"/>
      <c r="G35" s="224"/>
      <c r="H35" s="222" t="s">
        <v>354</v>
      </c>
      <c r="I35" s="225"/>
      <c r="J35" s="225"/>
      <c r="K35" s="225"/>
      <c r="L35" s="223"/>
      <c r="M35" s="225"/>
      <c r="N35" s="227"/>
    </row>
    <row r="36" spans="1:14" ht="13.5" customHeight="1">
      <c r="A36" s="221"/>
      <c r="B36" s="132"/>
      <c r="C36" s="132"/>
      <c r="D36" s="132"/>
      <c r="E36" s="224"/>
      <c r="F36" s="225"/>
      <c r="G36" s="224"/>
      <c r="H36" s="222" t="s">
        <v>355</v>
      </c>
      <c r="I36" s="225"/>
      <c r="J36" s="225"/>
      <c r="K36" s="225"/>
      <c r="L36" s="223"/>
      <c r="M36" s="225"/>
      <c r="N36" s="227"/>
    </row>
    <row r="37" spans="1:14" ht="13.5" customHeight="1">
      <c r="A37" s="221"/>
      <c r="B37" s="132"/>
      <c r="C37" s="132"/>
      <c r="D37" s="132"/>
      <c r="E37" s="224"/>
      <c r="F37" s="225"/>
      <c r="G37" s="224"/>
      <c r="H37" s="222" t="s">
        <v>356</v>
      </c>
      <c r="I37" s="133">
        <v>3044</v>
      </c>
      <c r="J37" s="225">
        <v>3500</v>
      </c>
      <c r="K37" s="225">
        <v>65244.7</v>
      </c>
      <c r="L37" s="224">
        <f>(K37-I37)/I37</f>
        <v>20.43386990801577</v>
      </c>
      <c r="M37" s="225">
        <v>80000</v>
      </c>
      <c r="N37" s="231">
        <f>(M37-K37)/K37</f>
        <v>0.22615323543521548</v>
      </c>
    </row>
    <row r="38" spans="1:14" ht="13.5" customHeight="1">
      <c r="A38" s="221"/>
      <c r="B38" s="132"/>
      <c r="C38" s="132"/>
      <c r="D38" s="132"/>
      <c r="E38" s="224"/>
      <c r="F38" s="225"/>
      <c r="G38" s="224"/>
      <c r="H38" s="222" t="s">
        <v>357</v>
      </c>
      <c r="I38" s="259">
        <v>15038</v>
      </c>
      <c r="J38" s="225">
        <f>35000-5000</f>
        <v>30000</v>
      </c>
      <c r="K38" s="225">
        <v>10434.45</v>
      </c>
      <c r="L38" s="224">
        <f>(K38-I38)/I38</f>
        <v>-0.30612780954914215</v>
      </c>
      <c r="M38" s="225">
        <v>50000</v>
      </c>
      <c r="N38" s="231">
        <f>(M38-K38)/K38</f>
        <v>3.79181940591023</v>
      </c>
    </row>
    <row r="39" spans="1:14" ht="13.5" customHeight="1">
      <c r="A39" s="221"/>
      <c r="B39" s="132"/>
      <c r="C39" s="132"/>
      <c r="D39" s="132"/>
      <c r="E39" s="224"/>
      <c r="F39" s="225"/>
      <c r="G39" s="224"/>
      <c r="H39" s="222" t="s">
        <v>358</v>
      </c>
      <c r="I39" s="261">
        <f>SUM(I40:I43)</f>
        <v>485</v>
      </c>
      <c r="J39" s="261">
        <f>SUM(J40:J43)</f>
        <v>33500</v>
      </c>
      <c r="K39" s="261">
        <f>SUM(K40:K43)</f>
        <v>8502</v>
      </c>
      <c r="L39" s="224">
        <f>(K39-I39)/I39</f>
        <v>16.529896907216497</v>
      </c>
      <c r="M39" s="261">
        <f>SUM(M40:M43)</f>
        <v>30000</v>
      </c>
      <c r="N39" s="231">
        <f>(M39-K39)/K39</f>
        <v>2.5285815102328866</v>
      </c>
    </row>
    <row r="40" spans="1:14" s="237" customFormat="1" ht="13.5" customHeight="1">
      <c r="A40" s="221"/>
      <c r="B40" s="132"/>
      <c r="C40" s="132"/>
      <c r="D40" s="132"/>
      <c r="E40" s="224"/>
      <c r="F40" s="225"/>
      <c r="G40" s="224"/>
      <c r="H40" s="222" t="s">
        <v>359</v>
      </c>
      <c r="I40" s="225"/>
      <c r="J40" s="225"/>
      <c r="K40" s="225">
        <v>26</v>
      </c>
      <c r="L40" s="223"/>
      <c r="M40" s="225"/>
      <c r="N40" s="227"/>
    </row>
    <row r="41" spans="1:14" s="237" customFormat="1" ht="13.5" customHeight="1">
      <c r="A41" s="221"/>
      <c r="B41" s="132"/>
      <c r="C41" s="132"/>
      <c r="D41" s="132"/>
      <c r="E41" s="224"/>
      <c r="F41" s="225"/>
      <c r="G41" s="224"/>
      <c r="H41" s="222" t="s">
        <v>360</v>
      </c>
      <c r="I41" s="133">
        <v>300</v>
      </c>
      <c r="J41" s="225">
        <v>500</v>
      </c>
      <c r="K41" s="225">
        <v>568</v>
      </c>
      <c r="L41" s="224">
        <f>(K41-I41)/I41</f>
        <v>0.8933333333333333</v>
      </c>
      <c r="M41" s="225"/>
      <c r="N41" s="231">
        <f>(M41-K41)/K41</f>
        <v>-1</v>
      </c>
    </row>
    <row r="42" spans="1:14" s="237" customFormat="1" ht="13.5" customHeight="1">
      <c r="A42" s="221"/>
      <c r="B42" s="132"/>
      <c r="C42" s="132"/>
      <c r="D42" s="132"/>
      <c r="E42" s="224"/>
      <c r="F42" s="225"/>
      <c r="G42" s="224"/>
      <c r="H42" s="222" t="s">
        <v>361</v>
      </c>
      <c r="I42" s="133">
        <v>85</v>
      </c>
      <c r="J42" s="225"/>
      <c r="K42" s="225">
        <v>60</v>
      </c>
      <c r="L42" s="224">
        <f>(K42-I42)/I42</f>
        <v>-0.29411764705882354</v>
      </c>
      <c r="M42" s="225"/>
      <c r="N42" s="231">
        <f>(M42-K42)/K42</f>
        <v>-1</v>
      </c>
    </row>
    <row r="43" spans="1:14" ht="13.5" customHeight="1">
      <c r="A43" s="221"/>
      <c r="B43" s="132"/>
      <c r="C43" s="132"/>
      <c r="D43" s="132"/>
      <c r="E43" s="224"/>
      <c r="F43" s="225"/>
      <c r="G43" s="224"/>
      <c r="H43" s="222" t="s">
        <v>362</v>
      </c>
      <c r="I43" s="133">
        <v>100</v>
      </c>
      <c r="J43" s="225">
        <f>28000+5000</f>
        <v>33000</v>
      </c>
      <c r="K43" s="225">
        <v>7848</v>
      </c>
      <c r="L43" s="224">
        <f>(K43-I43)/I43</f>
        <v>77.48</v>
      </c>
      <c r="M43" s="225">
        <v>30000</v>
      </c>
      <c r="N43" s="231">
        <f>(M43-K43)/K43</f>
        <v>2.8226299694189603</v>
      </c>
    </row>
    <row r="44" spans="1:14" ht="13.5" customHeight="1">
      <c r="A44" s="221"/>
      <c r="B44" s="132"/>
      <c r="C44" s="132"/>
      <c r="D44" s="132"/>
      <c r="E44" s="224"/>
      <c r="F44" s="225"/>
      <c r="G44" s="224"/>
      <c r="H44" s="222" t="s">
        <v>363</v>
      </c>
      <c r="I44" s="133"/>
      <c r="J44" s="225"/>
      <c r="K44" s="225"/>
      <c r="L44" s="224"/>
      <c r="M44" s="225"/>
      <c r="N44" s="231"/>
    </row>
    <row r="45" spans="1:14" ht="13.5" customHeight="1">
      <c r="A45" s="221"/>
      <c r="B45" s="132"/>
      <c r="C45" s="132"/>
      <c r="D45" s="132"/>
      <c r="E45" s="224"/>
      <c r="F45" s="225"/>
      <c r="G45" s="224"/>
      <c r="H45" s="222" t="s">
        <v>364</v>
      </c>
      <c r="I45" s="133"/>
      <c r="J45" s="225"/>
      <c r="K45" s="225"/>
      <c r="L45" s="224"/>
      <c r="M45" s="225"/>
      <c r="N45" s="231"/>
    </row>
    <row r="46" spans="1:14" ht="13.5" customHeight="1">
      <c r="A46" s="221"/>
      <c r="B46" s="132"/>
      <c r="C46" s="132"/>
      <c r="D46" s="132"/>
      <c r="E46" s="224"/>
      <c r="F46" s="225"/>
      <c r="G46" s="224"/>
      <c r="H46" s="222" t="s">
        <v>365</v>
      </c>
      <c r="I46" s="258"/>
      <c r="J46" s="225"/>
      <c r="K46" s="225"/>
      <c r="L46" s="224"/>
      <c r="M46" s="225">
        <f>SUM(M47:M50)</f>
        <v>200</v>
      </c>
      <c r="N46" s="227"/>
    </row>
    <row r="47" spans="1:14" ht="13.5" customHeight="1">
      <c r="A47" s="221" t="s">
        <v>366</v>
      </c>
      <c r="B47" s="132"/>
      <c r="C47" s="132"/>
      <c r="D47" s="132"/>
      <c r="E47" s="224"/>
      <c r="F47" s="225"/>
      <c r="G47" s="224"/>
      <c r="H47" s="222" t="s">
        <v>367</v>
      </c>
      <c r="I47" s="258"/>
      <c r="J47" s="225"/>
      <c r="K47" s="225"/>
      <c r="L47" s="224"/>
      <c r="M47" s="225"/>
      <c r="N47" s="227"/>
    </row>
    <row r="48" spans="1:14" ht="13.5" customHeight="1">
      <c r="A48" s="221" t="s">
        <v>366</v>
      </c>
      <c r="B48" s="132"/>
      <c r="C48" s="132"/>
      <c r="D48" s="132"/>
      <c r="E48" s="224"/>
      <c r="F48" s="225"/>
      <c r="G48" s="224"/>
      <c r="H48" s="222" t="s">
        <v>368</v>
      </c>
      <c r="I48" s="133"/>
      <c r="J48" s="225"/>
      <c r="K48" s="225"/>
      <c r="L48" s="224"/>
      <c r="M48" s="225"/>
      <c r="N48" s="227"/>
    </row>
    <row r="49" spans="1:14" ht="13.5" customHeight="1">
      <c r="A49" s="221" t="s">
        <v>366</v>
      </c>
      <c r="B49" s="132"/>
      <c r="C49" s="132"/>
      <c r="D49" s="132"/>
      <c r="E49" s="224"/>
      <c r="F49" s="225"/>
      <c r="G49" s="224"/>
      <c r="H49" s="222" t="s">
        <v>369</v>
      </c>
      <c r="I49" s="225"/>
      <c r="J49" s="225"/>
      <c r="K49" s="225"/>
      <c r="L49" s="223"/>
      <c r="M49" s="225">
        <v>200</v>
      </c>
      <c r="N49" s="227"/>
    </row>
    <row r="50" spans="1:14" ht="13.5" customHeight="1">
      <c r="A50" s="221"/>
      <c r="B50" s="132"/>
      <c r="C50" s="132"/>
      <c r="D50" s="132"/>
      <c r="E50" s="224"/>
      <c r="F50" s="225"/>
      <c r="G50" s="224"/>
      <c r="H50" s="222" t="s">
        <v>370</v>
      </c>
      <c r="I50" s="225"/>
      <c r="J50" s="225"/>
      <c r="K50" s="225"/>
      <c r="L50" s="223"/>
      <c r="M50" s="225"/>
      <c r="N50" s="227"/>
    </row>
    <row r="51" spans="1:14" ht="13.5" customHeight="1">
      <c r="A51" s="246"/>
      <c r="B51" s="234"/>
      <c r="C51" s="234"/>
      <c r="D51" s="234"/>
      <c r="E51" s="234"/>
      <c r="F51" s="235"/>
      <c r="G51" s="234"/>
      <c r="H51" s="222" t="s">
        <v>371</v>
      </c>
      <c r="I51" s="225"/>
      <c r="J51" s="225"/>
      <c r="K51" s="225"/>
      <c r="L51" s="223"/>
      <c r="M51" s="225"/>
      <c r="N51" s="227"/>
    </row>
    <row r="52" spans="1:14" ht="13.5" customHeight="1">
      <c r="A52" s="246"/>
      <c r="B52" s="234"/>
      <c r="C52" s="234"/>
      <c r="D52" s="234"/>
      <c r="E52" s="234"/>
      <c r="F52" s="235"/>
      <c r="G52" s="234"/>
      <c r="H52" s="222" t="s">
        <v>372</v>
      </c>
      <c r="I52" s="225"/>
      <c r="J52" s="225"/>
      <c r="K52" s="225"/>
      <c r="L52" s="223"/>
      <c r="M52" s="225"/>
      <c r="N52" s="227"/>
    </row>
    <row r="53" spans="1:14" ht="13.5" customHeight="1">
      <c r="A53" s="246"/>
      <c r="B53" s="234"/>
      <c r="C53" s="234"/>
      <c r="D53" s="234"/>
      <c r="E53" s="234"/>
      <c r="F53" s="235"/>
      <c r="G53" s="234"/>
      <c r="H53" s="222" t="s">
        <v>373</v>
      </c>
      <c r="I53" s="225"/>
      <c r="J53" s="225"/>
      <c r="K53" s="225"/>
      <c r="L53" s="223"/>
      <c r="M53" s="225"/>
      <c r="N53" s="227"/>
    </row>
    <row r="54" spans="1:14" ht="13.5" customHeight="1">
      <c r="A54" s="246"/>
      <c r="B54" s="234"/>
      <c r="C54" s="234"/>
      <c r="D54" s="234"/>
      <c r="E54" s="234"/>
      <c r="F54" s="235"/>
      <c r="G54" s="234"/>
      <c r="H54" s="222" t="s">
        <v>374</v>
      </c>
      <c r="I54" s="225"/>
      <c r="J54" s="225"/>
      <c r="K54" s="225"/>
      <c r="L54" s="223"/>
      <c r="M54" s="225"/>
      <c r="N54" s="227"/>
    </row>
    <row r="55" spans="1:14" ht="13.5" customHeight="1">
      <c r="A55" s="246"/>
      <c r="B55" s="234"/>
      <c r="C55" s="234"/>
      <c r="D55" s="234"/>
      <c r="E55" s="234"/>
      <c r="F55" s="235"/>
      <c r="G55" s="234"/>
      <c r="H55" s="222" t="s">
        <v>375</v>
      </c>
      <c r="I55" s="225"/>
      <c r="J55" s="225"/>
      <c r="K55" s="225"/>
      <c r="L55" s="223"/>
      <c r="M55" s="225"/>
      <c r="N55" s="227"/>
    </row>
    <row r="56" spans="1:14" ht="13.5" customHeight="1">
      <c r="A56" s="246"/>
      <c r="B56" s="234"/>
      <c r="C56" s="234"/>
      <c r="D56" s="234"/>
      <c r="E56" s="234"/>
      <c r="F56" s="235"/>
      <c r="G56" s="234"/>
      <c r="H56" s="222" t="s">
        <v>376</v>
      </c>
      <c r="I56" s="225"/>
      <c r="J56" s="225"/>
      <c r="K56" s="225"/>
      <c r="L56" s="223"/>
      <c r="M56" s="225"/>
      <c r="N56" s="227"/>
    </row>
    <row r="57" spans="1:14" ht="13.5" customHeight="1">
      <c r="A57" s="247"/>
      <c r="B57" s="240"/>
      <c r="C57" s="240"/>
      <c r="D57" s="240"/>
      <c r="E57" s="228"/>
      <c r="F57" s="229"/>
      <c r="G57" s="228"/>
      <c r="H57" s="222" t="s">
        <v>377</v>
      </c>
      <c r="I57" s="225">
        <f>I58+I59</f>
        <v>4491</v>
      </c>
      <c r="J57" s="225">
        <f>J58+J59</f>
        <v>4000</v>
      </c>
      <c r="K57" s="225">
        <f>K58+K59</f>
        <v>1681</v>
      </c>
      <c r="L57" s="224">
        <f>(K57-I57)/I57</f>
        <v>-0.6256958361166778</v>
      </c>
      <c r="M57" s="225">
        <f>M58+M59</f>
        <v>4000</v>
      </c>
      <c r="N57" s="231">
        <f>(M57-K57)/K57</f>
        <v>1.379535990481856</v>
      </c>
    </row>
    <row r="58" spans="1:14" ht="13.5" customHeight="1">
      <c r="A58" s="238"/>
      <c r="B58" s="224"/>
      <c r="C58" s="132"/>
      <c r="D58" s="132"/>
      <c r="E58" s="224"/>
      <c r="F58" s="225"/>
      <c r="G58" s="224"/>
      <c r="H58" s="222" t="s">
        <v>378</v>
      </c>
      <c r="I58" s="133">
        <v>4479</v>
      </c>
      <c r="J58" s="225">
        <v>4000</v>
      </c>
      <c r="K58" s="225">
        <v>1681</v>
      </c>
      <c r="L58" s="224">
        <f>(K58-I58)/I58</f>
        <v>-0.6246930118329984</v>
      </c>
      <c r="M58" s="225">
        <v>4000</v>
      </c>
      <c r="N58" s="231">
        <f>(M58-K58)/K58</f>
        <v>1.379535990481856</v>
      </c>
    </row>
    <row r="59" spans="1:14" ht="13.5" customHeight="1">
      <c r="A59" s="262"/>
      <c r="B59" s="263"/>
      <c r="C59" s="263"/>
      <c r="D59" s="263"/>
      <c r="E59" s="264"/>
      <c r="F59" s="265"/>
      <c r="G59" s="264"/>
      <c r="H59" s="222" t="s">
        <v>379</v>
      </c>
      <c r="I59" s="225">
        <v>12</v>
      </c>
      <c r="J59" s="225"/>
      <c r="K59" s="225"/>
      <c r="L59" s="223"/>
      <c r="M59" s="225"/>
      <c r="N59" s="227"/>
    </row>
    <row r="60" spans="1:14" ht="13.5" customHeight="1">
      <c r="A60" s="239" t="s">
        <v>380</v>
      </c>
      <c r="B60" s="240">
        <f>SUM(B7:B20,B23:B34)</f>
        <v>456649</v>
      </c>
      <c r="C60" s="240">
        <f>SUM(C7:C20,C23:C34)</f>
        <v>590440</v>
      </c>
      <c r="D60" s="240">
        <f>SUM(D7:D20,D23:D34)</f>
        <v>567931</v>
      </c>
      <c r="E60" s="228">
        <f>(D60-B60)/B60</f>
        <v>0.24369263920429038</v>
      </c>
      <c r="F60" s="240">
        <f>SUM(F7:F20,F23:F34)</f>
        <v>779100</v>
      </c>
      <c r="G60" s="228">
        <f>(F60-D60)/D60</f>
        <v>0.3718215769169142</v>
      </c>
      <c r="H60" s="241" t="s">
        <v>381</v>
      </c>
      <c r="I60" s="242">
        <f>SUM(I7,I10,I12,I15,I19,I39,I46,I55,I57)</f>
        <v>409885</v>
      </c>
      <c r="J60" s="242">
        <f>SUM(J7,J10,J12,J15,J19,J39,J46,J55,J57)</f>
        <v>609286</v>
      </c>
      <c r="K60" s="242">
        <f>SUM(K7,K10,K12,K15,K19,K39,K46,K55,K57)</f>
        <v>594883.6799999999</v>
      </c>
      <c r="L60" s="228">
        <f>(K60-I60)/I60</f>
        <v>0.4513428888590701</v>
      </c>
      <c r="M60" s="242">
        <f>SUM(M7,M10,M12,M15,M19,M39,M46,M51,M55,M57)</f>
        <v>912600</v>
      </c>
      <c r="N60" s="230">
        <f>(M60-K60)/K60</f>
        <v>0.5340814190767514</v>
      </c>
    </row>
    <row r="61" spans="1:14" ht="13.5" customHeight="1">
      <c r="A61" s="257" t="s">
        <v>382</v>
      </c>
      <c r="B61" s="132">
        <v>39003</v>
      </c>
      <c r="C61" s="132">
        <v>27000</v>
      </c>
      <c r="D61" s="132">
        <v>114220</v>
      </c>
      <c r="E61" s="224">
        <f>(D61-B61)/B61</f>
        <v>1.9284926800502527</v>
      </c>
      <c r="F61" s="225">
        <v>100000</v>
      </c>
      <c r="G61" s="224">
        <f>(F61-D61)/D61</f>
        <v>-0.1244965855366836</v>
      </c>
      <c r="H61" s="223" t="s">
        <v>383</v>
      </c>
      <c r="I61" s="133">
        <f>3272+1143</f>
        <v>4415</v>
      </c>
      <c r="J61" s="225">
        <v>13000</v>
      </c>
      <c r="K61" s="225">
        <v>6277</v>
      </c>
      <c r="L61" s="224">
        <f>(K61-I61)/I61</f>
        <v>0.4217440543601359</v>
      </c>
      <c r="M61" s="225">
        <v>15000</v>
      </c>
      <c r="N61" s="231">
        <f>(M61-K61)/K61</f>
        <v>1.3896765971005258</v>
      </c>
    </row>
    <row r="62" spans="1:14" ht="13.5" customHeight="1">
      <c r="A62" s="257" t="s">
        <v>384</v>
      </c>
      <c r="B62" s="132">
        <v>12972</v>
      </c>
      <c r="C62" s="132">
        <v>12000</v>
      </c>
      <c r="D62" s="132">
        <v>14368</v>
      </c>
      <c r="E62" s="224">
        <f>(D62-B62)/B62</f>
        <v>0.1076164045636756</v>
      </c>
      <c r="F62" s="225">
        <v>11000</v>
      </c>
      <c r="G62" s="224">
        <f>(F62-D62)/D62</f>
        <v>-0.2344097995545657</v>
      </c>
      <c r="H62" s="223" t="s">
        <v>385</v>
      </c>
      <c r="I62" s="244">
        <f>51923+90-14</f>
        <v>51999</v>
      </c>
      <c r="J62" s="225"/>
      <c r="K62" s="225">
        <v>43350</v>
      </c>
      <c r="L62" s="224">
        <f>(K62-I62)/I62</f>
        <v>-0.16633012173311026</v>
      </c>
      <c r="M62" s="225"/>
      <c r="N62" s="231">
        <f>(M62-K62)/K62</f>
        <v>-1</v>
      </c>
    </row>
    <row r="63" spans="1:14" ht="13.5" customHeight="1">
      <c r="A63" s="257" t="s">
        <v>386</v>
      </c>
      <c r="B63" s="132">
        <v>20118</v>
      </c>
      <c r="C63" s="133">
        <v>62443</v>
      </c>
      <c r="D63" s="133">
        <v>59449</v>
      </c>
      <c r="E63" s="224">
        <f>(D63-B63)/B63</f>
        <v>1.9550154090863903</v>
      </c>
      <c r="F63" s="225">
        <f>K67</f>
        <v>111457</v>
      </c>
      <c r="G63" s="224">
        <f>(F63-D63)/D63</f>
        <v>0.8748338912345035</v>
      </c>
      <c r="H63" s="223"/>
      <c r="I63" s="244"/>
      <c r="J63" s="225"/>
      <c r="K63" s="225"/>
      <c r="L63" s="224"/>
      <c r="M63" s="225"/>
      <c r="N63" s="231"/>
    </row>
    <row r="64" spans="1:14" ht="13.5" customHeight="1">
      <c r="A64" s="243" t="s">
        <v>387</v>
      </c>
      <c r="B64" s="240">
        <f>B60+B61+B62+B63</f>
        <v>528742</v>
      </c>
      <c r="C64" s="240">
        <f>C60+C61+C62+C63</f>
        <v>691883</v>
      </c>
      <c r="D64" s="240">
        <f>D60+D61+D62+D63</f>
        <v>755968</v>
      </c>
      <c r="E64" s="228">
        <f>(D64-B64)/B64</f>
        <v>0.4297483460742668</v>
      </c>
      <c r="F64" s="240">
        <f>F60+F61+F62+F63</f>
        <v>1001557</v>
      </c>
      <c r="G64" s="228">
        <f>(F64-D64)/D64</f>
        <v>0.3248669255841517</v>
      </c>
      <c r="H64" s="245" t="s">
        <v>388</v>
      </c>
      <c r="I64" s="240">
        <f>I60+I61+I62</f>
        <v>466299</v>
      </c>
      <c r="J64" s="240">
        <f>J60+J61+J62</f>
        <v>622286</v>
      </c>
      <c r="K64" s="240">
        <f>K60+K61+K62</f>
        <v>644510.6799999999</v>
      </c>
      <c r="L64" s="228">
        <f>(K64-I64)/I64</f>
        <v>0.382183277253436</v>
      </c>
      <c r="M64" s="240">
        <f>M60+M61+M62</f>
        <v>927600</v>
      </c>
      <c r="N64" s="230">
        <f>(M64-K64)/K64</f>
        <v>0.4392313871354313</v>
      </c>
    </row>
    <row r="65" spans="1:14" ht="13.5" customHeight="1">
      <c r="A65" s="246"/>
      <c r="B65" s="234"/>
      <c r="C65" s="234"/>
      <c r="D65" s="234"/>
      <c r="E65" s="234"/>
      <c r="F65" s="235"/>
      <c r="G65" s="234"/>
      <c r="H65" s="234"/>
      <c r="I65" s="240"/>
      <c r="J65" s="240"/>
      <c r="K65" s="240"/>
      <c r="L65" s="228"/>
      <c r="M65" s="225"/>
      <c r="N65" s="227"/>
    </row>
    <row r="66" spans="1:14" ht="13.5" customHeight="1">
      <c r="A66" s="246"/>
      <c r="B66" s="234"/>
      <c r="C66" s="234"/>
      <c r="D66" s="234"/>
      <c r="E66" s="234"/>
      <c r="F66" s="235"/>
      <c r="G66" s="234"/>
      <c r="H66" s="245" t="s">
        <v>389</v>
      </c>
      <c r="I66" s="240">
        <f>SUM(I67:I68)</f>
        <v>62443</v>
      </c>
      <c r="J66" s="240">
        <f>SUM(J67:J68)</f>
        <v>69597</v>
      </c>
      <c r="K66" s="240">
        <f>SUM(K67:K68)</f>
        <v>111457</v>
      </c>
      <c r="L66" s="228">
        <f>(K66-I66)/I66</f>
        <v>0.7849398651570232</v>
      </c>
      <c r="M66" s="240">
        <f>SUM(M67:M68)</f>
        <v>73957</v>
      </c>
      <c r="N66" s="230">
        <f>(M66-K66)/K66</f>
        <v>-0.3364526229846488</v>
      </c>
    </row>
    <row r="67" spans="1:14" ht="13.5" customHeight="1">
      <c r="A67" s="246"/>
      <c r="B67" s="234"/>
      <c r="C67" s="234"/>
      <c r="D67" s="234"/>
      <c r="E67" s="234"/>
      <c r="F67" s="235"/>
      <c r="G67" s="234"/>
      <c r="H67" s="223" t="s">
        <v>390</v>
      </c>
      <c r="I67" s="133">
        <f>63586-1143</f>
        <v>62443</v>
      </c>
      <c r="J67" s="225">
        <v>69197</v>
      </c>
      <c r="K67" s="225">
        <v>111457</v>
      </c>
      <c r="L67" s="224">
        <f>(K67-I67)/I67</f>
        <v>0.7849398651570232</v>
      </c>
      <c r="M67" s="225">
        <f>F64-M64-M68</f>
        <v>73457</v>
      </c>
      <c r="N67" s="231">
        <f>(M67-K67)/K67</f>
        <v>-0.34093865795777745</v>
      </c>
    </row>
    <row r="68" spans="1:14" ht="13.5" customHeight="1" thickBot="1">
      <c r="A68" s="266"/>
      <c r="B68" s="267"/>
      <c r="C68" s="267"/>
      <c r="D68" s="267"/>
      <c r="E68" s="267"/>
      <c r="F68" s="268"/>
      <c r="G68" s="267"/>
      <c r="H68" s="248" t="s">
        <v>391</v>
      </c>
      <c r="I68" s="134"/>
      <c r="J68" s="250">
        <v>400</v>
      </c>
      <c r="K68" s="250"/>
      <c r="L68" s="249"/>
      <c r="M68" s="250">
        <v>500</v>
      </c>
      <c r="N68" s="251"/>
    </row>
    <row r="69" spans="8:12" ht="13.5" customHeight="1">
      <c r="H69" s="252"/>
      <c r="I69" s="253"/>
      <c r="J69" s="253"/>
      <c r="K69" s="253"/>
      <c r="L69" s="254"/>
    </row>
    <row r="70" ht="13.5" customHeight="1"/>
    <row r="72" spans="10:11" ht="14.25">
      <c r="J72" s="255"/>
      <c r="K72" s="255"/>
    </row>
  </sheetData>
  <mergeCells count="9">
    <mergeCell ref="A4:G4"/>
    <mergeCell ref="A5:A6"/>
    <mergeCell ref="A2:N2"/>
    <mergeCell ref="C5:E5"/>
    <mergeCell ref="F5:G5"/>
    <mergeCell ref="H4:N4"/>
    <mergeCell ref="J5:L5"/>
    <mergeCell ref="M5:N5"/>
    <mergeCell ref="H5:H6"/>
  </mergeCells>
  <printOptions horizontalCentered="1" verticalCentered="1"/>
  <pageMargins left="0.7480314960629921" right="0.7480314960629921" top="0.16" bottom="0.17" header="0.16" footer="0.17"/>
  <pageSetup fitToHeight="1" fitToWidth="1" horizontalDpi="600" verticalDpi="600" orientation="landscape" paperSize="8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workbookViewId="0" topLeftCell="A1">
      <selection activeCell="A17" sqref="A17"/>
    </sheetView>
  </sheetViews>
  <sheetFormatPr defaultColWidth="8.625" defaultRowHeight="14.25"/>
  <cols>
    <col min="1" max="1" width="30.625" style="194" customWidth="1"/>
    <col min="2" max="3" width="9.625" style="195" customWidth="1"/>
    <col min="4" max="4" width="9.625" style="196" customWidth="1"/>
    <col min="5" max="5" width="9.625" style="195" customWidth="1"/>
    <col min="6" max="6" width="9.625" style="197" customWidth="1"/>
    <col min="7" max="7" width="30.625" style="194" customWidth="1"/>
    <col min="8" max="9" width="9.625" style="195" customWidth="1"/>
    <col min="10" max="10" width="9.625" style="197" customWidth="1"/>
    <col min="11" max="11" width="9.625" style="195" customWidth="1"/>
    <col min="12" max="12" width="9.625" style="196" customWidth="1"/>
    <col min="13" max="16384" width="8.625" style="194" customWidth="1"/>
  </cols>
  <sheetData>
    <row r="1" spans="1:12" ht="23.25" customHeight="1">
      <c r="A1" s="211" t="s">
        <v>275</v>
      </c>
      <c r="G1" s="309"/>
      <c r="H1" s="309"/>
      <c r="I1" s="309"/>
      <c r="J1" s="309"/>
      <c r="K1" s="309"/>
      <c r="L1" s="309"/>
    </row>
    <row r="2" spans="1:12" ht="28.5" customHeight="1">
      <c r="A2" s="310" t="s">
        <v>273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</row>
    <row r="3" spans="1:12" ht="28.5" customHeight="1">
      <c r="A3" s="198"/>
      <c r="B3" s="198"/>
      <c r="C3" s="198"/>
      <c r="D3" s="198"/>
      <c r="E3" s="198"/>
      <c r="F3" s="198"/>
      <c r="G3" s="198"/>
      <c r="H3" s="198"/>
      <c r="I3" s="312" t="s">
        <v>248</v>
      </c>
      <c r="J3" s="312"/>
      <c r="K3" s="312"/>
      <c r="L3" s="312"/>
    </row>
    <row r="4" spans="1:12" ht="20.25" customHeight="1">
      <c r="A4" s="311" t="s">
        <v>249</v>
      </c>
      <c r="B4" s="311"/>
      <c r="C4" s="311"/>
      <c r="D4" s="311"/>
      <c r="E4" s="311"/>
      <c r="F4" s="311"/>
      <c r="G4" s="311" t="s">
        <v>250</v>
      </c>
      <c r="H4" s="311"/>
      <c r="I4" s="311"/>
      <c r="J4" s="311"/>
      <c r="K4" s="311"/>
      <c r="L4" s="311"/>
    </row>
    <row r="5" spans="1:12" ht="38.25" customHeight="1">
      <c r="A5" s="199" t="s">
        <v>251</v>
      </c>
      <c r="B5" s="200" t="s">
        <v>252</v>
      </c>
      <c r="C5" s="200" t="s">
        <v>253</v>
      </c>
      <c r="D5" s="201" t="s">
        <v>254</v>
      </c>
      <c r="E5" s="200" t="s">
        <v>238</v>
      </c>
      <c r="F5" s="201" t="s">
        <v>255</v>
      </c>
      <c r="G5" s="199" t="s">
        <v>256</v>
      </c>
      <c r="H5" s="200" t="s">
        <v>252</v>
      </c>
      <c r="I5" s="200" t="s">
        <v>239</v>
      </c>
      <c r="J5" s="201" t="s">
        <v>254</v>
      </c>
      <c r="K5" s="200" t="s">
        <v>238</v>
      </c>
      <c r="L5" s="201" t="s">
        <v>255</v>
      </c>
    </row>
    <row r="6" spans="1:12" ht="24" customHeight="1">
      <c r="A6" s="202" t="s">
        <v>257</v>
      </c>
      <c r="B6" s="203">
        <f>'[3]表1全省收入'!B5/10000</f>
        <v>279130.025995</v>
      </c>
      <c r="C6" s="203">
        <f>'[3]表1全省收入'!C5/10000</f>
        <v>309605.919069</v>
      </c>
      <c r="D6" s="204">
        <f>C6/B6</f>
        <v>1.1091817082929871</v>
      </c>
      <c r="E6" s="203">
        <f>'[3]表1全省收入'!E5/10000</f>
        <v>333234.083401</v>
      </c>
      <c r="F6" s="205">
        <f>(E6-C6)/C6</f>
        <v>0.0763169011853877</v>
      </c>
      <c r="G6" s="202" t="s">
        <v>258</v>
      </c>
      <c r="H6" s="203">
        <f>'[3]表1全省收入'!H5/10000</f>
        <v>268714.10829299997</v>
      </c>
      <c r="I6" s="203">
        <f>'[3]表1全省收入'!I5/10000</f>
        <v>284327.74283100007</v>
      </c>
      <c r="J6" s="206">
        <f>I6/H6</f>
        <v>1.058105004747184</v>
      </c>
      <c r="K6" s="203">
        <f>'[3]表1全省收入'!K5/10000</f>
        <v>329061.60612599994</v>
      </c>
      <c r="L6" s="205">
        <f>(K6-I6)/I6</f>
        <v>0.15733203819505218</v>
      </c>
    </row>
    <row r="7" spans="1:12" ht="24" customHeight="1">
      <c r="A7" s="202" t="s">
        <v>240</v>
      </c>
      <c r="B7" s="203">
        <f>'[3]表1全省收入'!B9/10000</f>
        <v>124255.272956</v>
      </c>
      <c r="C7" s="203">
        <f>'[3]表1全省收入'!C9/10000</f>
        <v>140372.76088699998</v>
      </c>
      <c r="D7" s="204">
        <f aca="true" t="shared" si="0" ref="D7:D18">C7/B7</f>
        <v>1.1297127079404294</v>
      </c>
      <c r="E7" s="203">
        <f>'[3]表1全省收入'!E9/10000</f>
        <v>154291.22131</v>
      </c>
      <c r="F7" s="205">
        <f aca="true" t="shared" si="1" ref="F7:F18">(E7-C7)/C7</f>
        <v>0.09915357035831451</v>
      </c>
      <c r="G7" s="202" t="s">
        <v>241</v>
      </c>
      <c r="H7" s="203">
        <f>'[3]表1全省收入'!H9/10000</f>
        <v>126692.581672</v>
      </c>
      <c r="I7" s="203">
        <f>'[3]表1全省收入'!I9/10000</f>
        <v>139818.7194</v>
      </c>
      <c r="J7" s="206">
        <f aca="true" t="shared" si="2" ref="J7:J18">I7/H7</f>
        <v>1.1036062060996028</v>
      </c>
      <c r="K7" s="203">
        <f>'[3]表1全省收入'!K9/10000</f>
        <v>159159.567935</v>
      </c>
      <c r="L7" s="205">
        <f aca="true" t="shared" si="3" ref="L7:L18">(K7-I7)/I7</f>
        <v>0.13832803374252617</v>
      </c>
    </row>
    <row r="8" spans="1:12" ht="24" customHeight="1">
      <c r="A8" s="202" t="s">
        <v>242</v>
      </c>
      <c r="B8" s="203">
        <f>'[3]表1全省收入'!B13/10000</f>
        <v>10230.2163</v>
      </c>
      <c r="C8" s="203">
        <f>'[3]表1全省收入'!C13/10000</f>
        <v>14886.952738</v>
      </c>
      <c r="D8" s="204">
        <f t="shared" si="0"/>
        <v>1.4551943283936235</v>
      </c>
      <c r="E8" s="203">
        <f>'[3]表1全省收入'!E13/10000</f>
        <v>8324.258167</v>
      </c>
      <c r="F8" s="205">
        <f t="shared" si="1"/>
        <v>-0.44083531979303314</v>
      </c>
      <c r="G8" s="202" t="s">
        <v>243</v>
      </c>
      <c r="H8" s="203">
        <f>'[3]表1全省收入'!H13/10000</f>
        <v>8456.17</v>
      </c>
      <c r="I8" s="203">
        <f>'[3]表1全省收入'!I13/10000</f>
        <v>8464.4088</v>
      </c>
      <c r="J8" s="206">
        <f t="shared" si="2"/>
        <v>1.0009742945092162</v>
      </c>
      <c r="K8" s="203">
        <f>'[3]表1全省收入'!K13/10000</f>
        <v>10135.419</v>
      </c>
      <c r="L8" s="205">
        <f t="shared" si="3"/>
        <v>0.19741605580297597</v>
      </c>
    </row>
    <row r="9" spans="1:12" ht="24" customHeight="1">
      <c r="A9" s="202" t="s">
        <v>244</v>
      </c>
      <c r="B9" s="203">
        <f>'[3]表1全省收入'!B18/10000</f>
        <v>54024.205608000004</v>
      </c>
      <c r="C9" s="203">
        <f>'[3]表1全省收入'!C18/10000</f>
        <v>60482.527742</v>
      </c>
      <c r="D9" s="204">
        <f t="shared" si="0"/>
        <v>1.1195449717643535</v>
      </c>
      <c r="E9" s="203">
        <f>'[3]表1全省收入'!E18/10000</f>
        <v>69570.316985</v>
      </c>
      <c r="F9" s="205">
        <f t="shared" si="1"/>
        <v>0.15025478567572</v>
      </c>
      <c r="G9" s="202" t="s">
        <v>245</v>
      </c>
      <c r="H9" s="203">
        <f>'[3]表1全省收入'!H18/10000</f>
        <v>54021.397534</v>
      </c>
      <c r="I9" s="203">
        <f>'[3]表1全省收入'!I18/10000</f>
        <v>59859.75217100001</v>
      </c>
      <c r="J9" s="206">
        <f t="shared" si="2"/>
        <v>1.1080748537341238</v>
      </c>
      <c r="K9" s="203">
        <f>'[3]表1全省收入'!K18/10000</f>
        <v>74335.051887</v>
      </c>
      <c r="L9" s="205">
        <f t="shared" si="3"/>
        <v>0.24182024133091504</v>
      </c>
    </row>
    <row r="10" spans="1:12" ht="24" customHeight="1">
      <c r="A10" s="202" t="s">
        <v>246</v>
      </c>
      <c r="B10" s="203">
        <f>'[3]表1全省收入'!B22/10000</f>
        <v>3259.312774</v>
      </c>
      <c r="C10" s="203">
        <f>'[3]表1全省收入'!C22/10000</f>
        <v>3409.19345</v>
      </c>
      <c r="D10" s="204">
        <f t="shared" si="0"/>
        <v>1.0459853614527639</v>
      </c>
      <c r="E10" s="203">
        <f>'[3]表1全省收入'!E22/10000</f>
        <v>3660.865142</v>
      </c>
      <c r="F10" s="205">
        <f t="shared" si="1"/>
        <v>0.07382147586843447</v>
      </c>
      <c r="G10" s="202" t="s">
        <v>247</v>
      </c>
      <c r="H10" s="203">
        <f>'[3]表1全省收入'!H22/10000</f>
        <v>2206.863007</v>
      </c>
      <c r="I10" s="203">
        <f>'[3]表1全省收入'!I22/10000</f>
        <v>1584.9323789999999</v>
      </c>
      <c r="J10" s="206">
        <f t="shared" si="2"/>
        <v>0.718183400588399</v>
      </c>
      <c r="K10" s="203">
        <f>'[3]表1全省收入'!K22/10000</f>
        <v>2048.788795</v>
      </c>
      <c r="L10" s="205">
        <f t="shared" si="3"/>
        <v>0.29266637627320513</v>
      </c>
    </row>
    <row r="11" spans="1:12" ht="24" customHeight="1">
      <c r="A11" s="209" t="s">
        <v>278</v>
      </c>
      <c r="B11" s="203">
        <f>'[3]表1全省收入'!B26/10000</f>
        <v>2322.925185</v>
      </c>
      <c r="C11" s="203">
        <f>'[3]表1全省收入'!C26/10000</f>
        <v>2763.1961</v>
      </c>
      <c r="D11" s="204">
        <f t="shared" si="0"/>
        <v>1.1895329724103878</v>
      </c>
      <c r="E11" s="203">
        <f>'[3]表1全省收入'!E26/10000</f>
        <v>3450.233636</v>
      </c>
      <c r="F11" s="205">
        <f t="shared" si="1"/>
        <v>0.24863871804103943</v>
      </c>
      <c r="G11" s="208" t="s">
        <v>260</v>
      </c>
      <c r="H11" s="203">
        <f>'[3]表1全省收入'!H26/10000</f>
        <v>2300.46468</v>
      </c>
      <c r="I11" s="203">
        <f>'[3]表1全省收入'!I26/10000</f>
        <v>2863.253564</v>
      </c>
      <c r="J11" s="206">
        <f t="shared" si="2"/>
        <v>1.2446413930597708</v>
      </c>
      <c r="K11" s="203">
        <f>'[3]表1全省收入'!K26/10000</f>
        <v>3501.4589229999997</v>
      </c>
      <c r="L11" s="205">
        <f t="shared" si="3"/>
        <v>0.22289515920777164</v>
      </c>
    </row>
    <row r="12" spans="1:12" ht="24" customHeight="1">
      <c r="A12" s="209" t="s">
        <v>279</v>
      </c>
      <c r="B12" s="203">
        <f>'[3]表1全省收入'!B30/10000</f>
        <v>13258.486972</v>
      </c>
      <c r="C12" s="203">
        <f>'[3]表1全省收入'!C30/10000</f>
        <v>17866.232243000002</v>
      </c>
      <c r="D12" s="204">
        <f t="shared" si="0"/>
        <v>1.3475317568837901</v>
      </c>
      <c r="E12" s="203">
        <f>'[3]表1全省收入'!E30/10000</f>
        <v>16817.0323</v>
      </c>
      <c r="F12" s="205">
        <f t="shared" si="1"/>
        <v>-0.05872530529827184</v>
      </c>
      <c r="G12" s="208" t="s">
        <v>261</v>
      </c>
      <c r="H12" s="203">
        <f>'[3]表1全省收入'!H30/10000</f>
        <v>9914.623</v>
      </c>
      <c r="I12" s="203">
        <f>'[3]表1全省收入'!I30/10000</f>
        <v>9434.898731000001</v>
      </c>
      <c r="J12" s="206">
        <f t="shared" si="2"/>
        <v>0.9516144719774016</v>
      </c>
      <c r="K12" s="203">
        <f>'[3]表1全省收入'!K30/10000</f>
        <v>11623.672059999999</v>
      </c>
      <c r="L12" s="205">
        <f t="shared" si="3"/>
        <v>0.23198694457720062</v>
      </c>
    </row>
    <row r="13" spans="1:12" ht="24" customHeight="1">
      <c r="A13" s="209" t="s">
        <v>262</v>
      </c>
      <c r="B13" s="203">
        <f>'[3]表1全省收入'!B34/10000</f>
        <v>2577.118771</v>
      </c>
      <c r="C13" s="203">
        <f>'[3]表1全省收入'!C34/10000</f>
        <v>5460.478953</v>
      </c>
      <c r="D13" s="204">
        <f t="shared" si="0"/>
        <v>2.1188309263997054</v>
      </c>
      <c r="E13" s="203">
        <f>'[3]表1全省收入'!E34/10000</f>
        <v>3707.843</v>
      </c>
      <c r="F13" s="205">
        <f t="shared" si="1"/>
        <v>-0.3209674404178589</v>
      </c>
      <c r="G13" s="202" t="s">
        <v>263</v>
      </c>
      <c r="H13" s="203">
        <f>'[3]表1全省收入'!H34/10000</f>
        <v>2522.623</v>
      </c>
      <c r="I13" s="203">
        <f>'[3]表1全省收入'!I34/10000</f>
        <v>1999.277173</v>
      </c>
      <c r="J13" s="206">
        <f t="shared" si="2"/>
        <v>0.792539025054477</v>
      </c>
      <c r="K13" s="203">
        <f>'[3]表1全省收入'!K34/10000</f>
        <v>1848.0501600000002</v>
      </c>
      <c r="L13" s="205">
        <f t="shared" si="3"/>
        <v>-0.07564084412221703</v>
      </c>
    </row>
    <row r="14" spans="1:12" ht="24" customHeight="1">
      <c r="A14" s="209" t="s">
        <v>264</v>
      </c>
      <c r="B14" s="203">
        <f>'[3]表1全省收入'!B38/10000</f>
        <v>10681.368201000001</v>
      </c>
      <c r="C14" s="203">
        <f>'[3]表1全省收入'!C38/10000</f>
        <v>12405.75329</v>
      </c>
      <c r="D14" s="204">
        <f t="shared" si="0"/>
        <v>1.1614385963062823</v>
      </c>
      <c r="E14" s="203">
        <f>'[3]表1全省收入'!E38/10000</f>
        <v>13109.1893</v>
      </c>
      <c r="F14" s="205">
        <f t="shared" si="1"/>
        <v>0.05670240198690905</v>
      </c>
      <c r="G14" s="202" t="s">
        <v>265</v>
      </c>
      <c r="H14" s="203">
        <f>'[3]表1全省收入'!H38/10000</f>
        <v>7392</v>
      </c>
      <c r="I14" s="203">
        <f>'[3]表1全省收入'!I38/10000</f>
        <v>7435.621558</v>
      </c>
      <c r="J14" s="206">
        <f t="shared" si="2"/>
        <v>1.0059011847943722</v>
      </c>
      <c r="K14" s="203">
        <f>'[3]表1全省收入'!K38/10000</f>
        <v>9775.6219</v>
      </c>
      <c r="L14" s="205">
        <f t="shared" si="3"/>
        <v>0.3147013768448704</v>
      </c>
    </row>
    <row r="15" spans="1:12" ht="24" customHeight="1">
      <c r="A15" s="209" t="s">
        <v>280</v>
      </c>
      <c r="B15" s="203">
        <f>'[3]表1全省收入'!B42/10000</f>
        <v>35471.0062</v>
      </c>
      <c r="C15" s="203">
        <f>'[3]表1全省收入'!C42/10000</f>
        <v>35119.687809</v>
      </c>
      <c r="D15" s="204">
        <f t="shared" si="0"/>
        <v>0.990095618122048</v>
      </c>
      <c r="E15" s="203">
        <f>'[3]表1全省收入'!E42/10000</f>
        <v>38953.545861</v>
      </c>
      <c r="F15" s="205">
        <f t="shared" si="1"/>
        <v>0.1091654935217706</v>
      </c>
      <c r="G15" s="208" t="s">
        <v>266</v>
      </c>
      <c r="H15" s="203">
        <f>'[3]表1全省收入'!H42/10000</f>
        <v>28822.0084</v>
      </c>
      <c r="I15" s="203">
        <f>'[3]表1全省收入'!I42/10000</f>
        <v>29493.360786</v>
      </c>
      <c r="J15" s="206">
        <f t="shared" si="2"/>
        <v>1.0232930466427872</v>
      </c>
      <c r="K15" s="203">
        <f>'[3]表1全省收入'!K42/10000</f>
        <v>33453.647526</v>
      </c>
      <c r="L15" s="205">
        <f t="shared" si="3"/>
        <v>0.13427722831369834</v>
      </c>
    </row>
    <row r="16" spans="1:12" ht="24" customHeight="1">
      <c r="A16" s="209" t="s">
        <v>267</v>
      </c>
      <c r="B16" s="203">
        <f>'[3]表1全省收入'!B46/10000</f>
        <v>16016.231</v>
      </c>
      <c r="C16" s="203">
        <f>'[3]表1全省收入'!C46/10000</f>
        <v>15233.0684</v>
      </c>
      <c r="D16" s="204">
        <f t="shared" si="0"/>
        <v>0.951101941524195</v>
      </c>
      <c r="E16" s="203">
        <f>'[3]表1全省收入'!E46/10000</f>
        <v>16931.3</v>
      </c>
      <c r="F16" s="205">
        <f t="shared" si="1"/>
        <v>0.111483225533209</v>
      </c>
      <c r="G16" s="202" t="s">
        <v>268</v>
      </c>
      <c r="H16" s="203">
        <f>'[3]表1全省收入'!H46/10000</f>
        <v>12817.9884</v>
      </c>
      <c r="I16" s="203">
        <f>'[3]表1全省收入'!I46/10000</f>
        <v>13353.893001999999</v>
      </c>
      <c r="J16" s="206">
        <f t="shared" si="2"/>
        <v>1.0418087913076906</v>
      </c>
      <c r="K16" s="203">
        <f>'[3]表1全省收入'!K46/10000</f>
        <v>16340.9605</v>
      </c>
      <c r="L16" s="205">
        <f t="shared" si="3"/>
        <v>0.22368514541434698</v>
      </c>
    </row>
    <row r="17" spans="1:12" ht="24" customHeight="1">
      <c r="A17" s="202" t="s">
        <v>269</v>
      </c>
      <c r="B17" s="203">
        <f>'[3]表1全省收入'!B50/10000</f>
        <v>19454.7752</v>
      </c>
      <c r="C17" s="203">
        <f>'[3]表1全省收入'!C50/10000</f>
        <v>19886.619409</v>
      </c>
      <c r="D17" s="204">
        <f t="shared" si="0"/>
        <v>1.0221973373920044</v>
      </c>
      <c r="E17" s="203">
        <f>'[3]表1全省收入'!E50/10000</f>
        <v>22022.245861000003</v>
      </c>
      <c r="F17" s="205">
        <f t="shared" si="1"/>
        <v>0.1073901203657316</v>
      </c>
      <c r="G17" s="202" t="s">
        <v>270</v>
      </c>
      <c r="H17" s="203">
        <f>'[3]表1全省收入'!H50/10000</f>
        <v>16004.02</v>
      </c>
      <c r="I17" s="203">
        <f>'[3]表1全省收入'!I50/10000</f>
        <v>16139.467784</v>
      </c>
      <c r="J17" s="206">
        <f t="shared" si="2"/>
        <v>1.0084633600807797</v>
      </c>
      <c r="K17" s="203">
        <f>'[3]表1全省收入'!K50/10000</f>
        <v>17112.687026</v>
      </c>
      <c r="L17" s="205">
        <f t="shared" si="3"/>
        <v>0.060300578372529015</v>
      </c>
    </row>
    <row r="18" spans="1:12" ht="24" customHeight="1">
      <c r="A18" s="202" t="s">
        <v>271</v>
      </c>
      <c r="B18" s="203">
        <f>'[3]表1全省收入'!B54/10000</f>
        <v>36308.6</v>
      </c>
      <c r="C18" s="203">
        <f>'[3]表1全省收入'!C54/10000</f>
        <v>34705.3681</v>
      </c>
      <c r="D18" s="204">
        <f t="shared" si="0"/>
        <v>0.9558442930875881</v>
      </c>
      <c r="E18" s="203">
        <f>'[3]表1全省收入'!E54/10000</f>
        <v>38166.61</v>
      </c>
      <c r="F18" s="205">
        <f t="shared" si="1"/>
        <v>0.09973217659086005</v>
      </c>
      <c r="G18" s="202" t="s">
        <v>272</v>
      </c>
      <c r="H18" s="203">
        <f>'[3]表1全省收入'!H54/10000</f>
        <v>36300</v>
      </c>
      <c r="I18" s="203">
        <f>'[3]表1全省收入'!I54/10000</f>
        <v>32808.417</v>
      </c>
      <c r="J18" s="206">
        <f t="shared" si="2"/>
        <v>0.9038131404958678</v>
      </c>
      <c r="K18" s="203">
        <f>'[3]表1全省收入'!K54/10000</f>
        <v>34804</v>
      </c>
      <c r="L18" s="205">
        <f t="shared" si="3"/>
        <v>0.060825336376332896</v>
      </c>
    </row>
    <row r="19" spans="1:12" ht="24" customHeight="1">
      <c r="A19" s="202"/>
      <c r="B19" s="203"/>
      <c r="C19" s="203"/>
      <c r="D19" s="204"/>
      <c r="E19" s="203"/>
      <c r="F19" s="205"/>
      <c r="G19" s="202"/>
      <c r="H19" s="203"/>
      <c r="I19" s="203"/>
      <c r="J19" s="206"/>
      <c r="K19" s="203"/>
      <c r="L19" s="205"/>
    </row>
    <row r="20" spans="1:12" ht="24" customHeight="1">
      <c r="A20" s="202"/>
      <c r="B20" s="203"/>
      <c r="C20" s="203"/>
      <c r="D20" s="204"/>
      <c r="E20" s="203"/>
      <c r="F20" s="205"/>
      <c r="G20" s="210" t="s">
        <v>259</v>
      </c>
      <c r="H20" s="203">
        <v>10415.917701999999</v>
      </c>
      <c r="I20" s="203">
        <v>25278.176238</v>
      </c>
      <c r="J20" s="205">
        <v>2.426879412953334</v>
      </c>
      <c r="K20" s="203">
        <v>4172.477275</v>
      </c>
      <c r="L20" s="205">
        <v>-0.8349375668673585</v>
      </c>
    </row>
    <row r="21" spans="1:12" ht="24" customHeight="1">
      <c r="A21" s="202"/>
      <c r="B21" s="203"/>
      <c r="C21" s="203"/>
      <c r="D21" s="204"/>
      <c r="E21" s="203"/>
      <c r="F21" s="205"/>
      <c r="G21" s="202" t="s">
        <v>274</v>
      </c>
      <c r="H21" s="203">
        <v>157746.33291800003</v>
      </c>
      <c r="I21" s="203">
        <v>191078.055459</v>
      </c>
      <c r="J21" s="205">
        <v>1.211299508041981</v>
      </c>
      <c r="K21" s="203">
        <v>195250.53273399998</v>
      </c>
      <c r="L21" s="207">
        <v>0.021836506892311765</v>
      </c>
    </row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>
      <c r="M65" s="195" t="e">
        <f>#REF!-#REF!-#REF!</f>
        <v>#REF!</v>
      </c>
    </row>
  </sheetData>
  <mergeCells count="5">
    <mergeCell ref="G1:L1"/>
    <mergeCell ref="A2:L2"/>
    <mergeCell ref="A4:F4"/>
    <mergeCell ref="G4:L4"/>
    <mergeCell ref="I3:L3"/>
  </mergeCells>
  <printOptions horizontalCentered="1" verticalCentered="1"/>
  <pageMargins left="0.35433070866141736" right="0.35433070866141736" top="0.3937007874015748" bottom="0.3937007874015748" header="0.5118110236220472" footer="0.5118110236220472"/>
  <pageSetup fitToHeight="1" fitToWidth="1"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1"/>
  <sheetViews>
    <sheetView showGridLines="0" tabSelected="1" workbookViewId="0" topLeftCell="A1">
      <selection activeCell="A1" sqref="A1"/>
    </sheetView>
  </sheetViews>
  <sheetFormatPr defaultColWidth="9.00390625" defaultRowHeight="19.5" customHeight="1"/>
  <cols>
    <col min="1" max="1" width="44.50390625" style="122" customWidth="1"/>
    <col min="2" max="4" width="14.875" style="40" customWidth="1"/>
    <col min="5" max="5" width="27.875" style="40" customWidth="1"/>
    <col min="6" max="8" width="14.875" style="40" customWidth="1"/>
    <col min="9" max="16384" width="9.00390625" style="40" customWidth="1"/>
  </cols>
  <sheetData>
    <row r="1" ht="19.5" customHeight="1">
      <c r="A1" s="39" t="s">
        <v>182</v>
      </c>
    </row>
    <row r="2" spans="1:8" ht="28.5" customHeight="1">
      <c r="A2" s="319" t="s">
        <v>186</v>
      </c>
      <c r="B2" s="319"/>
      <c r="C2" s="319"/>
      <c r="D2" s="319"/>
      <c r="E2" s="319"/>
      <c r="F2" s="319"/>
      <c r="G2" s="319"/>
      <c r="H2" s="319"/>
    </row>
    <row r="3" spans="1:8" ht="24" customHeight="1">
      <c r="A3" s="323" t="s">
        <v>151</v>
      </c>
      <c r="B3" s="323"/>
      <c r="C3" s="323"/>
      <c r="D3" s="323"/>
      <c r="E3" s="323"/>
      <c r="F3" s="323"/>
      <c r="G3" s="323"/>
      <c r="H3" s="323"/>
    </row>
    <row r="4" spans="1:8" ht="25.5" customHeight="1">
      <c r="A4" s="135"/>
      <c r="D4" s="41"/>
      <c r="H4" s="136" t="s">
        <v>80</v>
      </c>
    </row>
    <row r="5" spans="1:8" ht="19.5" customHeight="1">
      <c r="A5" s="315" t="s">
        <v>152</v>
      </c>
      <c r="B5" s="316"/>
      <c r="C5" s="316"/>
      <c r="D5" s="316"/>
      <c r="E5" s="315" t="s">
        <v>153</v>
      </c>
      <c r="F5" s="316"/>
      <c r="G5" s="316"/>
      <c r="H5" s="317"/>
    </row>
    <row r="6" spans="1:8" ht="19.5" customHeight="1">
      <c r="A6" s="320" t="s">
        <v>78</v>
      </c>
      <c r="B6" s="320" t="s">
        <v>197</v>
      </c>
      <c r="C6" s="313" t="s">
        <v>198</v>
      </c>
      <c r="D6" s="314"/>
      <c r="E6" s="320" t="s">
        <v>78</v>
      </c>
      <c r="F6" s="318" t="s">
        <v>197</v>
      </c>
      <c r="G6" s="315" t="s">
        <v>198</v>
      </c>
      <c r="H6" s="317"/>
    </row>
    <row r="7" spans="1:8" ht="19.5" customHeight="1">
      <c r="A7" s="321"/>
      <c r="B7" s="321"/>
      <c r="C7" s="324" t="s">
        <v>1</v>
      </c>
      <c r="D7" s="324" t="s">
        <v>72</v>
      </c>
      <c r="E7" s="321"/>
      <c r="F7" s="318"/>
      <c r="G7" s="318" t="s">
        <v>58</v>
      </c>
      <c r="H7" s="324" t="s">
        <v>72</v>
      </c>
    </row>
    <row r="8" spans="1:8" ht="21.75" customHeight="1">
      <c r="A8" s="322"/>
      <c r="B8" s="322"/>
      <c r="C8" s="324"/>
      <c r="D8" s="324"/>
      <c r="E8" s="322"/>
      <c r="F8" s="318"/>
      <c r="G8" s="318"/>
      <c r="H8" s="324"/>
    </row>
    <row r="9" spans="1:8" s="43" customFormat="1" ht="19.5" customHeight="1">
      <c r="A9" s="48" t="s">
        <v>154</v>
      </c>
      <c r="B9" s="137">
        <f>B29-B30</f>
        <v>358556</v>
      </c>
      <c r="C9" s="137">
        <f>C29-C30</f>
        <v>396422</v>
      </c>
      <c r="D9" s="138">
        <f>(C9-B9)/B9</f>
        <v>0.10560693448164303</v>
      </c>
      <c r="E9" s="139" t="s">
        <v>213</v>
      </c>
      <c r="F9" s="137">
        <f>SUM(F10,F11,F12)</f>
        <v>153044</v>
      </c>
      <c r="G9" s="137">
        <f>SUM(G10,G11,G12)</f>
        <v>192855</v>
      </c>
      <c r="H9" s="138">
        <f>(G9-F9)/F9</f>
        <v>0.26012780638247823</v>
      </c>
    </row>
    <row r="10" spans="1:8" ht="19.5" customHeight="1">
      <c r="A10" s="42" t="s">
        <v>155</v>
      </c>
      <c r="B10" s="137">
        <f>B11+B20</f>
        <v>314303</v>
      </c>
      <c r="C10" s="137">
        <f>C11+C20</f>
        <v>377509</v>
      </c>
      <c r="D10" s="138">
        <f aca="true" t="shared" si="0" ref="D10:D26">(C10-B10)/B10</f>
        <v>0.20109893955832428</v>
      </c>
      <c r="E10" s="140" t="s">
        <v>214</v>
      </c>
      <c r="F10" s="141">
        <f>'[2]2012市本级执行情况表'!H18</f>
        <v>58990</v>
      </c>
      <c r="G10" s="141">
        <f>'[2]2012市本级执行情况表'!J18</f>
        <v>67737</v>
      </c>
      <c r="H10" s="142">
        <f>(G10-F10)/F10</f>
        <v>0.14827936938464145</v>
      </c>
    </row>
    <row r="11" spans="1:8" ht="19.5" customHeight="1">
      <c r="A11" s="143" t="s">
        <v>156</v>
      </c>
      <c r="B11" s="141">
        <f>SUM(B12:B19)</f>
        <v>313938</v>
      </c>
      <c r="C11" s="141">
        <f>SUM(C12:C19)</f>
        <v>377274</v>
      </c>
      <c r="D11" s="142">
        <f t="shared" si="0"/>
        <v>0.20174684173308105</v>
      </c>
      <c r="E11" s="140" t="s">
        <v>215</v>
      </c>
      <c r="F11" s="141">
        <f>'[2]2012市本级执行情况表'!H11</f>
        <v>82511</v>
      </c>
      <c r="G11" s="141">
        <f>'[2]2012市本级执行情况表'!J11</f>
        <v>111506</v>
      </c>
      <c r="H11" s="142">
        <f>(G11-F11)/F11</f>
        <v>0.35140769109573267</v>
      </c>
    </row>
    <row r="12" spans="1:8" ht="19.5" customHeight="1">
      <c r="A12" s="44" t="s">
        <v>157</v>
      </c>
      <c r="B12" s="141">
        <f>'[2]2012市本级执行情况表'!B8</f>
        <v>23644</v>
      </c>
      <c r="C12" s="141">
        <f>'[2]2012市本级执行情况表'!D8</f>
        <v>24377</v>
      </c>
      <c r="D12" s="142">
        <f t="shared" si="0"/>
        <v>0.031001522585010998</v>
      </c>
      <c r="E12" s="140" t="s">
        <v>216</v>
      </c>
      <c r="F12" s="141">
        <f>'[2]2012市本级执行情况表'!H12</f>
        <v>11543</v>
      </c>
      <c r="G12" s="141">
        <f>'[2]2012市本级执行情况表'!J12</f>
        <v>13612</v>
      </c>
      <c r="H12" s="142">
        <f>(G12-F12)/F12</f>
        <v>0.1792428311530798</v>
      </c>
    </row>
    <row r="13" spans="1:8" ht="19.5" customHeight="1">
      <c r="A13" s="45" t="s">
        <v>158</v>
      </c>
      <c r="B13" s="141">
        <f>'[2]2012市本级执行情况表'!B9</f>
        <v>110390</v>
      </c>
      <c r="C13" s="141">
        <f>'[2]2012市本级执行情况表'!D9</f>
        <v>112523</v>
      </c>
      <c r="D13" s="142">
        <f t="shared" si="0"/>
        <v>0.01932240239152097</v>
      </c>
      <c r="E13" s="144"/>
      <c r="F13" s="145"/>
      <c r="G13" s="145"/>
      <c r="H13" s="145"/>
    </row>
    <row r="14" spans="1:8" ht="19.5" customHeight="1">
      <c r="A14" s="45" t="s">
        <v>159</v>
      </c>
      <c r="B14" s="141">
        <f>'[2]2012市本级执行情况表'!B10</f>
        <v>41615</v>
      </c>
      <c r="C14" s="141">
        <f>'[2]2012市本级执行情况表'!D10</f>
        <v>51313</v>
      </c>
      <c r="D14" s="142">
        <f t="shared" si="0"/>
        <v>0.2330409708037967</v>
      </c>
      <c r="E14" s="144"/>
      <c r="F14" s="145"/>
      <c r="G14" s="145"/>
      <c r="H14" s="145"/>
    </row>
    <row r="15" spans="1:8" ht="19.5" customHeight="1">
      <c r="A15" s="44" t="s">
        <v>160</v>
      </c>
      <c r="B15" s="141">
        <f>'[2]2012市本级执行情况表'!B11</f>
        <v>15401</v>
      </c>
      <c r="C15" s="141">
        <f>'[2]2012市本级执行情况表'!D11</f>
        <v>11030</v>
      </c>
      <c r="D15" s="142">
        <f t="shared" si="0"/>
        <v>-0.2838127394325044</v>
      </c>
      <c r="E15" s="144"/>
      <c r="F15" s="144"/>
      <c r="G15" s="144"/>
      <c r="H15" s="144"/>
    </row>
    <row r="16" spans="1:8" ht="19.5" customHeight="1">
      <c r="A16" s="44" t="s">
        <v>161</v>
      </c>
      <c r="B16" s="141">
        <f>'[2]2012市本级执行情况表'!B12</f>
        <v>24566</v>
      </c>
      <c r="C16" s="141">
        <f>'[2]2012市本级执行情况表'!D12</f>
        <v>27952</v>
      </c>
      <c r="D16" s="142">
        <f t="shared" si="0"/>
        <v>0.13783277700887406</v>
      </c>
      <c r="E16" s="144"/>
      <c r="F16" s="144"/>
      <c r="G16" s="144"/>
      <c r="H16" s="144"/>
    </row>
    <row r="17" spans="1:8" ht="19.5" customHeight="1">
      <c r="A17" s="44" t="s">
        <v>162</v>
      </c>
      <c r="B17" s="141">
        <f>'[2]2012市本级执行情况表'!B13</f>
        <v>20289</v>
      </c>
      <c r="C17" s="141">
        <f>'[2]2012市本级执行情况表'!D13</f>
        <v>45561</v>
      </c>
      <c r="D17" s="142">
        <f t="shared" si="0"/>
        <v>1.2456010646162945</v>
      </c>
      <c r="E17" s="144"/>
      <c r="F17" s="144"/>
      <c r="G17" s="144"/>
      <c r="H17" s="144"/>
    </row>
    <row r="18" spans="1:8" ht="19.5" customHeight="1">
      <c r="A18" s="44" t="s">
        <v>163</v>
      </c>
      <c r="B18" s="141">
        <f>'[2]2012市本级执行情况表'!B16</f>
        <v>21920</v>
      </c>
      <c r="C18" s="141">
        <f>'[2]2012市本级执行情况表'!D16</f>
        <v>24238</v>
      </c>
      <c r="D18" s="142">
        <f>(C18-B18)/B18</f>
        <v>0.10574817518248175</v>
      </c>
      <c r="E18" s="144"/>
      <c r="F18" s="144"/>
      <c r="G18" s="144" t="s">
        <v>53</v>
      </c>
      <c r="H18" s="144"/>
    </row>
    <row r="19" spans="1:8" ht="19.5" customHeight="1">
      <c r="A19" s="44" t="s">
        <v>164</v>
      </c>
      <c r="B19" s="141">
        <f>'[2]2012全市执行情况表'!B14+'[2]2012全市执行情况表'!B17+'[2]2012全市执行情况表'!B18+'[2]2012全市执行情况表'!B19</f>
        <v>56113</v>
      </c>
      <c r="C19" s="141">
        <f>'[2]2012市本级执行情况表'!D14+'[2]2012市本级执行情况表'!D17+'[2]2012市本级执行情况表'!D18+'[2]2012市本级执行情况表'!D19</f>
        <v>80280</v>
      </c>
      <c r="D19" s="142">
        <f>(C19-B19)/B19</f>
        <v>0.43068451161050025</v>
      </c>
      <c r="E19" s="144"/>
      <c r="F19" s="144"/>
      <c r="G19" s="144"/>
      <c r="H19" s="144"/>
    </row>
    <row r="20" spans="1:8" ht="19.5" customHeight="1">
      <c r="A20" s="44" t="s">
        <v>165</v>
      </c>
      <c r="B20" s="146">
        <f>SUM(B21:B21)</f>
        <v>365</v>
      </c>
      <c r="C20" s="146">
        <f>SUM(C21:C21)</f>
        <v>235</v>
      </c>
      <c r="D20" s="142">
        <f t="shared" si="0"/>
        <v>-0.3561643835616438</v>
      </c>
      <c r="E20" s="144"/>
      <c r="F20" s="144"/>
      <c r="G20" s="144"/>
      <c r="H20" s="144"/>
    </row>
    <row r="21" spans="1:8" ht="19.5" customHeight="1">
      <c r="A21" s="44" t="s">
        <v>166</v>
      </c>
      <c r="B21" s="146">
        <v>365</v>
      </c>
      <c r="C21" s="146">
        <v>235</v>
      </c>
      <c r="D21" s="142">
        <f t="shared" si="0"/>
        <v>-0.3561643835616438</v>
      </c>
      <c r="E21" s="144"/>
      <c r="F21" s="144"/>
      <c r="G21" s="144"/>
      <c r="H21" s="144"/>
    </row>
    <row r="22" spans="1:8" ht="19.5" customHeight="1">
      <c r="A22" s="42" t="s">
        <v>167</v>
      </c>
      <c r="B22" s="147">
        <f>B23+B27</f>
        <v>54030</v>
      </c>
      <c r="C22" s="147">
        <f>C23+C27</f>
        <v>32047</v>
      </c>
      <c r="D22" s="138">
        <f t="shared" si="0"/>
        <v>-0.40686655561724966</v>
      </c>
      <c r="E22" s="144"/>
      <c r="F22" s="144"/>
      <c r="G22" s="144"/>
      <c r="H22" s="144"/>
    </row>
    <row r="23" spans="1:8" ht="19.5" customHeight="1">
      <c r="A23" s="46" t="s">
        <v>168</v>
      </c>
      <c r="B23" s="148">
        <f>SUM(B24:B26)</f>
        <v>54030</v>
      </c>
      <c r="C23" s="148">
        <f>SUM(C24:C26)</f>
        <v>32047</v>
      </c>
      <c r="D23" s="142">
        <f t="shared" si="0"/>
        <v>-0.40686655561724966</v>
      </c>
      <c r="E23" s="144"/>
      <c r="F23" s="144"/>
      <c r="G23" s="144"/>
      <c r="H23" s="144"/>
    </row>
    <row r="24" spans="1:8" ht="19.5" customHeight="1">
      <c r="A24" s="46" t="s">
        <v>169</v>
      </c>
      <c r="B24" s="148">
        <v>45880</v>
      </c>
      <c r="C24" s="148">
        <v>47235</v>
      </c>
      <c r="D24" s="142">
        <f t="shared" si="0"/>
        <v>0.029533565823888403</v>
      </c>
      <c r="E24" s="144"/>
      <c r="F24" s="144"/>
      <c r="G24" s="144"/>
      <c r="H24" s="144"/>
    </row>
    <row r="25" spans="1:8" ht="19.5" customHeight="1">
      <c r="A25" s="46" t="s">
        <v>170</v>
      </c>
      <c r="B25" s="148">
        <v>1962</v>
      </c>
      <c r="C25" s="148">
        <v>1962</v>
      </c>
      <c r="D25" s="142">
        <f t="shared" si="0"/>
        <v>0</v>
      </c>
      <c r="E25" s="144"/>
      <c r="F25" s="144"/>
      <c r="G25" s="144"/>
      <c r="H25" s="144"/>
    </row>
    <row r="26" spans="1:8" ht="19.5" customHeight="1">
      <c r="A26" s="46" t="s">
        <v>171</v>
      </c>
      <c r="B26" s="148">
        <v>6188</v>
      </c>
      <c r="C26" s="148">
        <v>-17150</v>
      </c>
      <c r="D26" s="142">
        <f t="shared" si="0"/>
        <v>-3.771493212669683</v>
      </c>
      <c r="E26" s="144"/>
      <c r="F26" s="144"/>
      <c r="G26" s="144"/>
      <c r="H26" s="144"/>
    </row>
    <row r="27" spans="1:8" ht="19.5" customHeight="1">
      <c r="A27" s="46" t="s">
        <v>172</v>
      </c>
      <c r="B27" s="148">
        <v>0</v>
      </c>
      <c r="C27" s="148">
        <v>0</v>
      </c>
      <c r="D27" s="142"/>
      <c r="E27" s="149"/>
      <c r="F27" s="144"/>
      <c r="G27" s="144"/>
      <c r="H27" s="144"/>
    </row>
    <row r="28" spans="1:8" ht="19.5" customHeight="1">
      <c r="A28" s="46" t="s">
        <v>173</v>
      </c>
      <c r="B28" s="148">
        <v>0</v>
      </c>
      <c r="C28" s="148">
        <v>0</v>
      </c>
      <c r="D28" s="142"/>
      <c r="E28" s="149"/>
      <c r="F28" s="144"/>
      <c r="G28" s="144"/>
      <c r="H28" s="144"/>
    </row>
    <row r="29" spans="1:8" ht="19.5" customHeight="1">
      <c r="A29" s="48" t="s">
        <v>57</v>
      </c>
      <c r="B29" s="147">
        <f>SUM(B10,B22)</f>
        <v>368333</v>
      </c>
      <c r="C29" s="147">
        <f>SUM(C10,C22)</f>
        <v>409556</v>
      </c>
      <c r="D29" s="138">
        <f aca="true" t="shared" si="1" ref="D29:D36">(C29-B29)/B29</f>
        <v>0.11191774834185371</v>
      </c>
      <c r="E29" s="144"/>
      <c r="F29" s="144"/>
      <c r="G29" s="144"/>
      <c r="H29" s="144"/>
    </row>
    <row r="30" spans="1:8" ht="19.5" customHeight="1">
      <c r="A30" s="42" t="s">
        <v>174</v>
      </c>
      <c r="B30" s="147">
        <f>SUM(B31,B35)</f>
        <v>9777</v>
      </c>
      <c r="C30" s="147">
        <f>SUM(C31,C35)</f>
        <v>13134</v>
      </c>
      <c r="D30" s="138">
        <f t="shared" si="1"/>
        <v>0.3433568579318809</v>
      </c>
      <c r="E30" s="144"/>
      <c r="F30" s="144"/>
      <c r="G30" s="144"/>
      <c r="H30" s="144"/>
    </row>
    <row r="31" spans="1:8" ht="19.5" customHeight="1">
      <c r="A31" s="46" t="s">
        <v>175</v>
      </c>
      <c r="B31" s="146">
        <f>SUM(B32:B34)</f>
        <v>4277</v>
      </c>
      <c r="C31" s="146">
        <f>SUM(C32:C34)</f>
        <v>6634</v>
      </c>
      <c r="D31" s="142">
        <f t="shared" si="1"/>
        <v>0.5510872106616788</v>
      </c>
      <c r="E31" s="144"/>
      <c r="F31" s="144"/>
      <c r="G31" s="144"/>
      <c r="H31" s="144"/>
    </row>
    <row r="32" spans="1:8" ht="19.5" customHeight="1">
      <c r="A32" s="46" t="s">
        <v>176</v>
      </c>
      <c r="B32" s="146">
        <v>23612</v>
      </c>
      <c r="C32" s="146">
        <v>25235</v>
      </c>
      <c r="D32" s="142">
        <f t="shared" si="1"/>
        <v>0.06873623581229883</v>
      </c>
      <c r="E32" s="144"/>
      <c r="F32" s="144"/>
      <c r="G32" s="144"/>
      <c r="H32" s="144"/>
    </row>
    <row r="33" spans="1:8" ht="19.5" customHeight="1">
      <c r="A33" s="46" t="s">
        <v>177</v>
      </c>
      <c r="B33" s="146">
        <v>7924</v>
      </c>
      <c r="C33" s="146">
        <v>7924</v>
      </c>
      <c r="D33" s="142">
        <f t="shared" si="1"/>
        <v>0</v>
      </c>
      <c r="E33" s="144"/>
      <c r="F33" s="144"/>
      <c r="G33" s="144"/>
      <c r="H33" s="144"/>
    </row>
    <row r="34" spans="1:8" ht="19.5" customHeight="1">
      <c r="A34" s="46" t="s">
        <v>178</v>
      </c>
      <c r="B34" s="146">
        <v>-27259</v>
      </c>
      <c r="C34" s="146">
        <v>-26525</v>
      </c>
      <c r="D34" s="142">
        <f t="shared" si="1"/>
        <v>-0.02692688653288822</v>
      </c>
      <c r="E34" s="144"/>
      <c r="F34" s="144"/>
      <c r="G34" s="144"/>
      <c r="H34" s="144"/>
    </row>
    <row r="35" spans="1:8" ht="19.5" customHeight="1">
      <c r="A35" s="47" t="s">
        <v>179</v>
      </c>
      <c r="B35" s="146">
        <f>SUM(B36:B36)</f>
        <v>5500</v>
      </c>
      <c r="C35" s="146">
        <v>6500</v>
      </c>
      <c r="D35" s="142">
        <f t="shared" si="1"/>
        <v>0.18181818181818182</v>
      </c>
      <c r="E35" s="144"/>
      <c r="F35" s="144"/>
      <c r="G35" s="144"/>
      <c r="H35" s="144"/>
    </row>
    <row r="36" spans="1:8" ht="19.5" customHeight="1">
      <c r="A36" s="47" t="s">
        <v>180</v>
      </c>
      <c r="B36" s="146">
        <v>5500</v>
      </c>
      <c r="C36" s="146">
        <v>6500</v>
      </c>
      <c r="D36" s="142">
        <f t="shared" si="1"/>
        <v>0.18181818181818182</v>
      </c>
      <c r="E36" s="144"/>
      <c r="F36" s="144"/>
      <c r="G36" s="144"/>
      <c r="H36" s="144"/>
    </row>
    <row r="37" spans="1:8" ht="19.5" customHeight="1">
      <c r="A37" s="104"/>
      <c r="B37" s="150"/>
      <c r="C37" s="150"/>
      <c r="D37" s="150"/>
      <c r="E37" s="150"/>
      <c r="F37" s="150"/>
      <c r="G37" s="150"/>
      <c r="H37" s="150"/>
    </row>
    <row r="38" spans="1:8" ht="19.5" customHeight="1">
      <c r="A38" s="105" t="s">
        <v>53</v>
      </c>
      <c r="B38" s="150"/>
      <c r="C38" s="150"/>
      <c r="D38" s="150"/>
      <c r="E38" s="151"/>
      <c r="F38" s="151"/>
      <c r="G38" s="151"/>
      <c r="H38" s="151"/>
    </row>
    <row r="39" spans="2:8" ht="19.5" customHeight="1">
      <c r="B39" s="151"/>
      <c r="C39" s="152"/>
      <c r="D39" s="151"/>
      <c r="E39" s="151"/>
      <c r="F39" s="151"/>
      <c r="G39" s="151"/>
      <c r="H39" s="151"/>
    </row>
    <row r="40" spans="2:8" ht="19.5" customHeight="1">
      <c r="B40" s="151"/>
      <c r="C40" s="151"/>
      <c r="D40" s="151"/>
      <c r="E40" s="151"/>
      <c r="F40" s="151"/>
      <c r="G40" s="151"/>
      <c r="H40" s="151"/>
    </row>
    <row r="41" spans="2:8" ht="19.5" customHeight="1">
      <c r="B41" s="151"/>
      <c r="C41" s="151"/>
      <c r="D41" s="151"/>
      <c r="E41" s="151"/>
      <c r="F41" s="151"/>
      <c r="G41" s="151"/>
      <c r="H41" s="151"/>
    </row>
    <row r="42" spans="2:8" ht="19.5" customHeight="1">
      <c r="B42" s="151"/>
      <c r="C42" s="151"/>
      <c r="D42" s="151"/>
      <c r="E42" s="151"/>
      <c r="F42" s="151"/>
      <c r="G42" s="151"/>
      <c r="H42" s="151"/>
    </row>
    <row r="43" spans="2:8" ht="19.5" customHeight="1">
      <c r="B43" s="151"/>
      <c r="C43" s="151"/>
      <c r="D43" s="151"/>
      <c r="E43" s="151"/>
      <c r="F43" s="151"/>
      <c r="G43" s="151"/>
      <c r="H43" s="151"/>
    </row>
    <row r="44" spans="2:8" ht="19.5" customHeight="1">
      <c r="B44" s="151"/>
      <c r="C44" s="151"/>
      <c r="D44" s="151"/>
      <c r="E44" s="151"/>
      <c r="F44" s="151"/>
      <c r="G44" s="151"/>
      <c r="H44" s="151"/>
    </row>
    <row r="45" spans="2:8" ht="19.5" customHeight="1">
      <c r="B45" s="151"/>
      <c r="C45" s="151"/>
      <c r="D45" s="151"/>
      <c r="E45" s="151"/>
      <c r="F45" s="151"/>
      <c r="G45" s="151"/>
      <c r="H45" s="151"/>
    </row>
    <row r="46" spans="2:8" ht="19.5" customHeight="1">
      <c r="B46" s="151"/>
      <c r="C46" s="151"/>
      <c r="D46" s="151"/>
      <c r="E46" s="151"/>
      <c r="F46" s="151"/>
      <c r="G46" s="151"/>
      <c r="H46" s="151"/>
    </row>
    <row r="47" spans="2:8" ht="19.5" customHeight="1">
      <c r="B47" s="151"/>
      <c r="C47" s="151"/>
      <c r="D47" s="151"/>
      <c r="E47" s="151"/>
      <c r="F47" s="151"/>
      <c r="G47" s="151"/>
      <c r="H47" s="151"/>
    </row>
    <row r="48" spans="2:8" ht="19.5" customHeight="1">
      <c r="B48" s="151"/>
      <c r="C48" s="151"/>
      <c r="D48" s="151"/>
      <c r="E48" s="151"/>
      <c r="F48" s="151"/>
      <c r="G48" s="151"/>
      <c r="H48" s="151"/>
    </row>
    <row r="49" spans="2:8" ht="19.5" customHeight="1">
      <c r="B49" s="151"/>
      <c r="C49" s="151"/>
      <c r="D49" s="151"/>
      <c r="E49" s="151"/>
      <c r="F49" s="151"/>
      <c r="G49" s="151"/>
      <c r="H49" s="151"/>
    </row>
    <row r="50" spans="2:8" ht="19.5" customHeight="1">
      <c r="B50" s="151"/>
      <c r="C50" s="151"/>
      <c r="D50" s="151"/>
      <c r="E50" s="151"/>
      <c r="F50" s="151"/>
      <c r="G50" s="151"/>
      <c r="H50" s="151"/>
    </row>
    <row r="51" spans="2:8" ht="19.5" customHeight="1">
      <c r="B51" s="151"/>
      <c r="C51" s="151"/>
      <c r="D51" s="151"/>
      <c r="E51" s="151"/>
      <c r="F51" s="151"/>
      <c r="G51" s="151"/>
      <c r="H51" s="151"/>
    </row>
    <row r="52" spans="2:8" ht="19.5" customHeight="1">
      <c r="B52" s="151"/>
      <c r="C52" s="151"/>
      <c r="D52" s="151"/>
      <c r="E52" s="151"/>
      <c r="F52" s="151"/>
      <c r="G52" s="151"/>
      <c r="H52" s="151"/>
    </row>
    <row r="53" spans="2:8" ht="19.5" customHeight="1">
      <c r="B53" s="151"/>
      <c r="C53" s="151"/>
      <c r="D53" s="151"/>
      <c r="E53" s="151"/>
      <c r="F53" s="151"/>
      <c r="G53" s="151"/>
      <c r="H53" s="151"/>
    </row>
    <row r="54" spans="2:8" ht="19.5" customHeight="1">
      <c r="B54" s="151"/>
      <c r="C54" s="151"/>
      <c r="D54" s="151"/>
      <c r="E54" s="151"/>
      <c r="F54" s="151"/>
      <c r="G54" s="151"/>
      <c r="H54" s="151"/>
    </row>
    <row r="55" spans="2:8" ht="19.5" customHeight="1">
      <c r="B55" s="151"/>
      <c r="C55" s="151"/>
      <c r="D55" s="151"/>
      <c r="E55" s="151"/>
      <c r="F55" s="151"/>
      <c r="G55" s="151"/>
      <c r="H55" s="151"/>
    </row>
    <row r="56" spans="2:8" ht="19.5" customHeight="1">
      <c r="B56" s="151"/>
      <c r="C56" s="151"/>
      <c r="D56" s="151"/>
      <c r="E56" s="151"/>
      <c r="F56" s="151"/>
      <c r="G56" s="151"/>
      <c r="H56" s="151"/>
    </row>
    <row r="57" spans="2:8" ht="19.5" customHeight="1">
      <c r="B57" s="151"/>
      <c r="C57" s="151"/>
      <c r="D57" s="151"/>
      <c r="E57" s="151"/>
      <c r="F57" s="151"/>
      <c r="G57" s="151"/>
      <c r="H57" s="151"/>
    </row>
    <row r="58" spans="2:8" ht="19.5" customHeight="1">
      <c r="B58" s="151"/>
      <c r="C58" s="151"/>
      <c r="D58" s="151"/>
      <c r="E58" s="151"/>
      <c r="F58" s="151"/>
      <c r="G58" s="151"/>
      <c r="H58" s="151"/>
    </row>
    <row r="59" spans="2:8" ht="19.5" customHeight="1">
      <c r="B59" s="151"/>
      <c r="C59" s="151"/>
      <c r="D59" s="151"/>
      <c r="E59" s="151"/>
      <c r="F59" s="151"/>
      <c r="G59" s="151"/>
      <c r="H59" s="151"/>
    </row>
    <row r="60" spans="2:8" ht="19.5" customHeight="1">
      <c r="B60" s="151"/>
      <c r="C60" s="151"/>
      <c r="D60" s="151"/>
      <c r="E60" s="151"/>
      <c r="F60" s="151"/>
      <c r="G60" s="151"/>
      <c r="H60" s="151"/>
    </row>
    <row r="61" spans="2:8" ht="19.5" customHeight="1">
      <c r="B61" s="151"/>
      <c r="C61" s="151"/>
      <c r="D61" s="151"/>
      <c r="E61" s="151"/>
      <c r="F61" s="151"/>
      <c r="G61" s="151"/>
      <c r="H61" s="151"/>
    </row>
    <row r="62" spans="2:8" ht="19.5" customHeight="1">
      <c r="B62" s="151"/>
      <c r="C62" s="151"/>
      <c r="D62" s="151"/>
      <c r="E62" s="151"/>
      <c r="F62" s="151"/>
      <c r="G62" s="151"/>
      <c r="H62" s="151"/>
    </row>
    <row r="63" spans="2:8" ht="19.5" customHeight="1">
      <c r="B63" s="151"/>
      <c r="C63" s="151"/>
      <c r="D63" s="151"/>
      <c r="E63" s="151"/>
      <c r="F63" s="151"/>
      <c r="G63" s="151"/>
      <c r="H63" s="151"/>
    </row>
    <row r="64" spans="2:8" ht="19.5" customHeight="1">
      <c r="B64" s="151"/>
      <c r="C64" s="151"/>
      <c r="D64" s="151"/>
      <c r="E64" s="151"/>
      <c r="F64" s="151"/>
      <c r="G64" s="151"/>
      <c r="H64" s="151"/>
    </row>
    <row r="65" spans="2:8" ht="19.5" customHeight="1">
      <c r="B65" s="151"/>
      <c r="C65" s="151"/>
      <c r="D65" s="151"/>
      <c r="E65" s="151"/>
      <c r="F65" s="151"/>
      <c r="G65" s="151"/>
      <c r="H65" s="151"/>
    </row>
    <row r="66" spans="2:8" ht="19.5" customHeight="1">
      <c r="B66" s="151"/>
      <c r="C66" s="151"/>
      <c r="D66" s="151"/>
      <c r="E66" s="151"/>
      <c r="F66" s="151"/>
      <c r="G66" s="151"/>
      <c r="H66" s="151"/>
    </row>
    <row r="67" spans="2:8" ht="19.5" customHeight="1">
      <c r="B67" s="151"/>
      <c r="C67" s="151"/>
      <c r="D67" s="151"/>
      <c r="E67" s="151"/>
      <c r="F67" s="151"/>
      <c r="G67" s="151"/>
      <c r="H67" s="151"/>
    </row>
    <row r="68" spans="2:8" ht="19.5" customHeight="1">
      <c r="B68" s="151"/>
      <c r="C68" s="151"/>
      <c r="D68" s="151"/>
      <c r="E68" s="151"/>
      <c r="F68" s="151"/>
      <c r="G68" s="151"/>
      <c r="H68" s="151"/>
    </row>
    <row r="69" spans="2:8" ht="19.5" customHeight="1">
      <c r="B69" s="151"/>
      <c r="C69" s="151"/>
      <c r="D69" s="151"/>
      <c r="E69" s="151"/>
      <c r="F69" s="151"/>
      <c r="G69" s="151"/>
      <c r="H69" s="151"/>
    </row>
    <row r="70" spans="2:8" ht="19.5" customHeight="1">
      <c r="B70" s="151"/>
      <c r="C70" s="151"/>
      <c r="D70" s="151"/>
      <c r="E70" s="151"/>
      <c r="F70" s="151"/>
      <c r="G70" s="151"/>
      <c r="H70" s="151"/>
    </row>
    <row r="71" spans="2:8" ht="19.5" customHeight="1">
      <c r="B71" s="151"/>
      <c r="C71" s="151"/>
      <c r="D71" s="151"/>
      <c r="E71" s="151"/>
      <c r="F71" s="151"/>
      <c r="G71" s="151"/>
      <c r="H71" s="151"/>
    </row>
    <row r="72" spans="2:8" ht="19.5" customHeight="1">
      <c r="B72" s="151"/>
      <c r="C72" s="151"/>
      <c r="D72" s="151"/>
      <c r="E72" s="151"/>
      <c r="F72" s="151"/>
      <c r="G72" s="151"/>
      <c r="H72" s="151"/>
    </row>
    <row r="73" spans="2:8" ht="19.5" customHeight="1">
      <c r="B73" s="151"/>
      <c r="C73" s="151"/>
      <c r="D73" s="151"/>
      <c r="E73" s="151"/>
      <c r="F73" s="151"/>
      <c r="G73" s="151"/>
      <c r="H73" s="151"/>
    </row>
    <row r="74" spans="2:8" ht="19.5" customHeight="1">
      <c r="B74" s="151"/>
      <c r="C74" s="151"/>
      <c r="D74" s="151"/>
      <c r="E74" s="151"/>
      <c r="F74" s="151"/>
      <c r="G74" s="151"/>
      <c r="H74" s="151"/>
    </row>
    <row r="75" spans="2:8" ht="19.5" customHeight="1">
      <c r="B75" s="151"/>
      <c r="C75" s="151"/>
      <c r="D75" s="151"/>
      <c r="E75" s="151"/>
      <c r="F75" s="151"/>
      <c r="G75" s="151"/>
      <c r="H75" s="151"/>
    </row>
    <row r="76" spans="2:8" ht="19.5" customHeight="1">
      <c r="B76" s="151"/>
      <c r="C76" s="151"/>
      <c r="D76" s="151"/>
      <c r="E76" s="151"/>
      <c r="F76" s="151"/>
      <c r="G76" s="151"/>
      <c r="H76" s="151"/>
    </row>
    <row r="77" spans="2:8" ht="19.5" customHeight="1">
      <c r="B77" s="151"/>
      <c r="C77" s="151"/>
      <c r="D77" s="151"/>
      <c r="E77" s="151"/>
      <c r="F77" s="151"/>
      <c r="G77" s="151"/>
      <c r="H77" s="151"/>
    </row>
    <row r="78" spans="2:8" ht="19.5" customHeight="1">
      <c r="B78" s="151"/>
      <c r="C78" s="151"/>
      <c r="D78" s="151"/>
      <c r="E78" s="151"/>
      <c r="F78" s="151"/>
      <c r="G78" s="151"/>
      <c r="H78" s="151"/>
    </row>
    <row r="79" spans="2:8" ht="19.5" customHeight="1">
      <c r="B79" s="151"/>
      <c r="C79" s="151"/>
      <c r="D79" s="151"/>
      <c r="E79" s="151"/>
      <c r="F79" s="151"/>
      <c r="G79" s="151"/>
      <c r="H79" s="151"/>
    </row>
    <row r="80" spans="2:8" ht="19.5" customHeight="1">
      <c r="B80" s="151"/>
      <c r="C80" s="151"/>
      <c r="D80" s="151"/>
      <c r="E80" s="151"/>
      <c r="F80" s="151"/>
      <c r="G80" s="151"/>
      <c r="H80" s="151"/>
    </row>
    <row r="81" spans="2:8" ht="19.5" customHeight="1">
      <c r="B81" s="151"/>
      <c r="C81" s="151"/>
      <c r="D81" s="151"/>
      <c r="E81" s="151"/>
      <c r="F81" s="151"/>
      <c r="G81" s="151"/>
      <c r="H81" s="151"/>
    </row>
    <row r="82" spans="2:8" ht="19.5" customHeight="1">
      <c r="B82" s="151"/>
      <c r="C82" s="151"/>
      <c r="D82" s="151"/>
      <c r="E82" s="151"/>
      <c r="F82" s="151"/>
      <c r="G82" s="151"/>
      <c r="H82" s="151"/>
    </row>
    <row r="83" spans="2:8" ht="19.5" customHeight="1">
      <c r="B83" s="151"/>
      <c r="C83" s="151"/>
      <c r="D83" s="151"/>
      <c r="E83" s="151"/>
      <c r="F83" s="151"/>
      <c r="G83" s="151"/>
      <c r="H83" s="151"/>
    </row>
    <row r="84" spans="2:8" ht="19.5" customHeight="1">
      <c r="B84" s="151"/>
      <c r="C84" s="151"/>
      <c r="D84" s="151"/>
      <c r="E84" s="151"/>
      <c r="F84" s="151"/>
      <c r="G84" s="151"/>
      <c r="H84" s="151"/>
    </row>
    <row r="85" spans="2:8" ht="19.5" customHeight="1">
      <c r="B85" s="151"/>
      <c r="C85" s="151"/>
      <c r="D85" s="151"/>
      <c r="E85" s="151"/>
      <c r="F85" s="151"/>
      <c r="G85" s="151"/>
      <c r="H85" s="151"/>
    </row>
    <row r="86" spans="2:8" ht="19.5" customHeight="1">
      <c r="B86" s="151"/>
      <c r="C86" s="151"/>
      <c r="D86" s="151"/>
      <c r="E86" s="151"/>
      <c r="F86" s="151"/>
      <c r="G86" s="151"/>
      <c r="H86" s="151"/>
    </row>
    <row r="87" spans="2:8" ht="19.5" customHeight="1">
      <c r="B87" s="151"/>
      <c r="C87" s="151"/>
      <c r="D87" s="151"/>
      <c r="E87" s="151"/>
      <c r="F87" s="151"/>
      <c r="G87" s="151"/>
      <c r="H87" s="151"/>
    </row>
    <row r="88" spans="2:8" ht="19.5" customHeight="1">
      <c r="B88" s="151"/>
      <c r="C88" s="151"/>
      <c r="D88" s="151"/>
      <c r="E88" s="151"/>
      <c r="F88" s="151"/>
      <c r="G88" s="151"/>
      <c r="H88" s="151"/>
    </row>
    <row r="89" spans="2:8" ht="19.5" customHeight="1">
      <c r="B89" s="151"/>
      <c r="C89" s="151"/>
      <c r="D89" s="151"/>
      <c r="E89" s="151"/>
      <c r="F89" s="151"/>
      <c r="G89" s="151"/>
      <c r="H89" s="151"/>
    </row>
    <row r="90" spans="2:8" ht="19.5" customHeight="1">
      <c r="B90" s="151"/>
      <c r="C90" s="151"/>
      <c r="D90" s="151"/>
      <c r="E90" s="151"/>
      <c r="F90" s="151"/>
      <c r="G90" s="151"/>
      <c r="H90" s="151"/>
    </row>
    <row r="91" spans="2:8" ht="19.5" customHeight="1">
      <c r="B91" s="151"/>
      <c r="C91" s="151"/>
      <c r="D91" s="151"/>
      <c r="E91" s="151"/>
      <c r="F91" s="151"/>
      <c r="G91" s="151"/>
      <c r="H91" s="151"/>
    </row>
  </sheetData>
  <mergeCells count="14">
    <mergeCell ref="A2:H2"/>
    <mergeCell ref="A6:A8"/>
    <mergeCell ref="A5:D5"/>
    <mergeCell ref="E6:E8"/>
    <mergeCell ref="A3:H3"/>
    <mergeCell ref="C7:C8"/>
    <mergeCell ref="D7:D8"/>
    <mergeCell ref="H7:H8"/>
    <mergeCell ref="B6:B8"/>
    <mergeCell ref="F6:F8"/>
    <mergeCell ref="C6:D6"/>
    <mergeCell ref="E5:H5"/>
    <mergeCell ref="G6:H6"/>
    <mergeCell ref="G7:G8"/>
  </mergeCells>
  <printOptions horizontalCentered="1"/>
  <pageMargins left="0.31496062992125984" right="0.1968503937007874" top="0.52" bottom="0.26" header="0.57" footer="0.1968503937007874"/>
  <pageSetup horizontalDpi="300" verticalDpi="300" orientation="landscape" paperSize="8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小樊科技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2013-02-21T09:57:47Z</cp:lastPrinted>
  <dcterms:created xsi:type="dcterms:W3CDTF">2008-01-04T17:21:55Z</dcterms:created>
  <dcterms:modified xsi:type="dcterms:W3CDTF">2013-03-21T08:22:15Z</dcterms:modified>
  <cp:category/>
  <cp:version/>
  <cp:contentType/>
  <cp:contentStatus/>
</cp:coreProperties>
</file>